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ttps://hometownequitymortgage.sharepoint.com/sites/shareddrives/Shared Documents/Marketing/Website/Resources/"/>
    </mc:Choice>
  </mc:AlternateContent>
  <xr:revisionPtr revIDLastSave="2" documentId="14_{F6F9FE83-FCF0-4E6E-8BFD-5689B9862F74}" xr6:coauthVersionLast="45" xr6:coauthVersionMax="45" xr10:uidLastSave="{AF64A2B7-7832-491D-9543-2741A7C8AFCE}"/>
  <workbookProtection workbookPassword="D887" lockStructure="1"/>
  <bookViews>
    <workbookView xWindow="28680" yWindow="-120" windowWidth="29040" windowHeight="15840" xr2:uid="{00000000-000D-0000-FFFF-FFFF00000000}"/>
  </bookViews>
  <sheets>
    <sheet name="IRRRL" sheetId="4" r:id="rId1"/>
    <sheet name="Purchase" sheetId="1" r:id="rId2"/>
    <sheet name="Cash-Out" sheetId="2" r:id="rId3"/>
    <sheet name="County Loan Limits" sheetId="3" state="hidden" r:id="rId4"/>
  </sheets>
  <definedNames>
    <definedName name="_xlnm._FilterDatabase" localSheetId="2" hidden="1">'Cash-Out'!$A$1:$EA$1</definedName>
    <definedName name="_xlnm._FilterDatabase" localSheetId="3" hidden="1">'County Loan Limits'!$G$4:$I$4</definedName>
    <definedName name="CASHEX">'Cash-Out'!$O$21</definedName>
    <definedName name="CountyTable">#REF!</definedName>
    <definedName name="FIRST">Purchase!$R$25</definedName>
    <definedName name="FIRSTC">'Cash-Out'!$O$23</definedName>
    <definedName name="FIRSTTIME">Purchase!$R$25</definedName>
    <definedName name="HighLimitCounty">'County Loan Limits'!$G$5:$I$243</definedName>
    <definedName name="_xlnm.Print_Area" localSheetId="0">IRRRL!$C$1:$Q$45</definedName>
    <definedName name="PUREX">Purchase!$R$23</definedName>
    <definedName name="REGMIL">Purchase!$R$24</definedName>
    <definedName name="REGMILC">'Cash-Out'!$O$22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2" l="1"/>
  <c r="S11" i="2"/>
  <c r="T11" i="2" s="1"/>
  <c r="U11" i="2" s="1"/>
  <c r="V11" i="2" s="1"/>
  <c r="W11" i="2" s="1"/>
  <c r="X11" i="2" s="1"/>
  <c r="Y11" i="2" s="1"/>
  <c r="Z11" i="2" s="1"/>
  <c r="AA11" i="2" s="1"/>
  <c r="AB11" i="2" s="1"/>
  <c r="AC11" i="2" s="1"/>
  <c r="AD11" i="2" s="1"/>
  <c r="Q15" i="2"/>
  <c r="R15" i="2" s="1"/>
  <c r="S15" i="2" s="1"/>
  <c r="T15" i="2" s="1"/>
  <c r="U15" i="2" s="1"/>
  <c r="V15" i="2" s="1"/>
  <c r="W15" i="2" s="1"/>
  <c r="X15" i="2" s="1"/>
  <c r="Y15" i="2" s="1"/>
  <c r="Z15" i="2" s="1"/>
  <c r="AA15" i="2" s="1"/>
  <c r="AB15" i="2" s="1"/>
  <c r="AC15" i="2" s="1"/>
  <c r="AD15" i="2" s="1"/>
  <c r="Q12" i="2"/>
  <c r="R12" i="2" s="1"/>
  <c r="S12" i="2" s="1"/>
  <c r="T12" i="2" s="1"/>
  <c r="U12" i="2" s="1"/>
  <c r="V12" i="2" s="1"/>
  <c r="W12" i="2" s="1"/>
  <c r="X12" i="2" s="1"/>
  <c r="Y12" i="2" s="1"/>
  <c r="Z12" i="2" s="1"/>
  <c r="AA12" i="2" s="1"/>
  <c r="AB12" i="2" s="1"/>
  <c r="AC12" i="2" s="1"/>
  <c r="AD12" i="2" s="1"/>
  <c r="K10" i="2"/>
  <c r="Q10" i="2" s="1"/>
  <c r="R10" i="2" s="1"/>
  <c r="S10" i="2" s="1"/>
  <c r="T10" i="2" s="1"/>
  <c r="U10" i="2" s="1"/>
  <c r="V10" i="2" s="1"/>
  <c r="W10" i="2" s="1"/>
  <c r="X10" i="2" s="1"/>
  <c r="Y10" i="2" s="1"/>
  <c r="Z10" i="2" s="1"/>
  <c r="AA10" i="2" s="1"/>
  <c r="AB10" i="2" s="1"/>
  <c r="AC10" i="2" s="1"/>
  <c r="AD10" i="2" s="1"/>
  <c r="K7" i="2"/>
  <c r="K39" i="2"/>
  <c r="E24" i="2"/>
  <c r="K8" i="2"/>
  <c r="K5" i="2"/>
  <c r="Q3" i="2" s="1"/>
  <c r="K20" i="1"/>
  <c r="N20" i="1"/>
  <c r="R26" i="1" s="1"/>
  <c r="K16" i="1"/>
  <c r="W5" i="1"/>
  <c r="X5" i="1"/>
  <c r="Y5" i="1" s="1"/>
  <c r="Z5" i="1" s="1"/>
  <c r="AA5" i="1" s="1"/>
  <c r="AB5" i="1" s="1"/>
  <c r="AC5" i="1" s="1"/>
  <c r="AD5" i="1" s="1"/>
  <c r="AE5" i="1" s="1"/>
  <c r="AF5" i="1" s="1"/>
  <c r="AG5" i="1" s="1"/>
  <c r="AH5" i="1" s="1"/>
  <c r="AI5" i="1" s="1"/>
  <c r="AJ5" i="1" s="1"/>
  <c r="AK5" i="1" s="1"/>
  <c r="AL5" i="1" s="1"/>
  <c r="AM5" i="1" s="1"/>
  <c r="AN5" i="1" s="1"/>
  <c r="AO5" i="1" s="1"/>
  <c r="AP5" i="1" s="1"/>
  <c r="AQ5" i="1" s="1"/>
  <c r="AR5" i="1" s="1"/>
  <c r="AS5" i="1" s="1"/>
  <c r="AT5" i="1" s="1"/>
  <c r="AU5" i="1" s="1"/>
  <c r="AV5" i="1" s="1"/>
  <c r="AW5" i="1" s="1"/>
  <c r="AX5" i="1" s="1"/>
  <c r="AY5" i="1" s="1"/>
  <c r="AZ5" i="1" s="1"/>
  <c r="W7" i="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W8" i="1"/>
  <c r="X8" i="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V12" i="1"/>
  <c r="W12" i="1" s="1"/>
  <c r="X12" i="1" s="1"/>
  <c r="Y12" i="1" s="1"/>
  <c r="Z12" i="1" s="1"/>
  <c r="AA12" i="1" s="1"/>
  <c r="AB12" i="1" s="1"/>
  <c r="AC12" i="1" s="1"/>
  <c r="AD12" i="1" s="1"/>
  <c r="AE12" i="1" s="1"/>
  <c r="AF12" i="1" s="1"/>
  <c r="AG12" i="1" s="1"/>
  <c r="AH12" i="1" s="1"/>
  <c r="AI12" i="1" s="1"/>
  <c r="AJ12" i="1" s="1"/>
  <c r="AK12" i="1" s="1"/>
  <c r="AL12" i="1" s="1"/>
  <c r="AM12" i="1" s="1"/>
  <c r="AN12" i="1" s="1"/>
  <c r="AO12" i="1" s="1"/>
  <c r="AP12" i="1" s="1"/>
  <c r="AQ12" i="1" s="1"/>
  <c r="AR12" i="1" s="1"/>
  <c r="AS12" i="1" s="1"/>
  <c r="AT12" i="1" s="1"/>
  <c r="AU12" i="1" s="1"/>
  <c r="AV12" i="1" s="1"/>
  <c r="AW12" i="1" s="1"/>
  <c r="AX12" i="1" s="1"/>
  <c r="AY12" i="1" s="1"/>
  <c r="AZ12" i="1" s="1"/>
  <c r="V9" i="1"/>
  <c r="W9" i="1" s="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AV9" i="1" s="1"/>
  <c r="AW9" i="1" s="1"/>
  <c r="AX9" i="1" s="1"/>
  <c r="AY9" i="1" s="1"/>
  <c r="AZ9" i="1" s="1"/>
  <c r="V3" i="1"/>
  <c r="W3" i="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AY3" i="1" s="1"/>
  <c r="AZ3" i="1" s="1"/>
  <c r="V2" i="1"/>
  <c r="W2" i="1" s="1"/>
  <c r="L23" i="1"/>
  <c r="L24" i="1"/>
  <c r="L25" i="1"/>
  <c r="L26" i="1"/>
  <c r="L18" i="1"/>
  <c r="L20" i="1" s="1"/>
  <c r="L9" i="1"/>
  <c r="L12" i="1"/>
  <c r="L8" i="1"/>
  <c r="L6" i="1"/>
  <c r="L4" i="1"/>
  <c r="L3" i="1"/>
  <c r="K33" i="1"/>
  <c r="K5" i="1"/>
  <c r="K22" i="1" s="1"/>
  <c r="K30" i="1" s="1"/>
  <c r="S24" i="1"/>
  <c r="S25" i="1"/>
  <c r="S23" i="1"/>
  <c r="K7" i="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AX6" i="1" s="1"/>
  <c r="AY6" i="1" s="1"/>
  <c r="AZ6" i="1" s="1"/>
  <c r="M18" i="1"/>
  <c r="M4" i="1"/>
  <c r="M3" i="1"/>
  <c r="M16" i="1"/>
  <c r="M12" i="1"/>
  <c r="E31" i="4"/>
  <c r="B44" i="1"/>
  <c r="C41" i="4"/>
  <c r="E37" i="4"/>
  <c r="O21" i="4"/>
  <c r="O23" i="4" s="1"/>
  <c r="O26" i="4" s="1"/>
  <c r="O35" i="4" s="1"/>
  <c r="C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7" i="3"/>
  <c r="B38" i="3"/>
  <c r="B39" i="3"/>
  <c r="B40" i="3"/>
  <c r="B41" i="3"/>
  <c r="B44" i="3"/>
  <c r="B45" i="3"/>
  <c r="B46" i="3"/>
  <c r="B47" i="3"/>
  <c r="B48" i="3"/>
  <c r="B49" i="3"/>
  <c r="B50" i="3"/>
  <c r="B51" i="3"/>
  <c r="B52" i="3"/>
  <c r="B53" i="3"/>
  <c r="B57" i="3"/>
  <c r="B62" i="3"/>
  <c r="B68" i="3"/>
  <c r="B69" i="3"/>
  <c r="B70" i="3"/>
  <c r="B71" i="3"/>
  <c r="B72" i="3"/>
  <c r="B74" i="3"/>
  <c r="B75" i="3"/>
  <c r="B76" i="3"/>
  <c r="B77" i="3"/>
  <c r="B78" i="3"/>
  <c r="B79" i="3"/>
  <c r="B80" i="3"/>
  <c r="B82" i="3"/>
  <c r="B83" i="3"/>
  <c r="B84" i="3"/>
  <c r="B85" i="3"/>
  <c r="B86" i="3"/>
  <c r="B87" i="3"/>
  <c r="B88" i="3"/>
  <c r="B89" i="3"/>
  <c r="B90" i="3"/>
  <c r="B91" i="3"/>
  <c r="B92" i="3"/>
  <c r="B93" i="3"/>
  <c r="B94" i="3"/>
  <c r="B95" i="3"/>
  <c r="B96" i="3"/>
  <c r="B97" i="3"/>
  <c r="B98" i="3"/>
  <c r="B99" i="3"/>
  <c r="B100" i="3"/>
  <c r="B102" i="3"/>
  <c r="B103" i="3"/>
  <c r="B104" i="3"/>
  <c r="B105" i="3"/>
  <c r="B106" i="3"/>
  <c r="B107" i="3"/>
  <c r="B108" i="3"/>
  <c r="B109" i="3"/>
  <c r="B110" i="3"/>
  <c r="B111" i="3"/>
  <c r="B112" i="3"/>
  <c r="B113" i="3"/>
  <c r="B114" i="3"/>
  <c r="B115" i="3"/>
  <c r="B116" i="3"/>
  <c r="B118" i="3"/>
  <c r="B119" i="3"/>
  <c r="B120" i="3"/>
  <c r="B122" i="3"/>
  <c r="B123" i="3"/>
  <c r="B124" i="3"/>
  <c r="B125" i="3"/>
  <c r="B126" i="3"/>
  <c r="B127" i="3"/>
  <c r="B128" i="3"/>
  <c r="B148" i="3"/>
  <c r="B149" i="3"/>
  <c r="B150" i="3"/>
  <c r="B151" i="3"/>
  <c r="B153" i="3"/>
  <c r="B154" i="3"/>
  <c r="B155" i="3"/>
  <c r="B156" i="3"/>
  <c r="B157" i="3"/>
  <c r="B159" i="3"/>
  <c r="B160" i="3"/>
  <c r="B161" i="3"/>
  <c r="B162" i="3"/>
  <c r="B164" i="3"/>
  <c r="B165" i="3"/>
  <c r="B166" i="3"/>
  <c r="B167" i="3"/>
  <c r="B168" i="3"/>
  <c r="B169" i="3"/>
  <c r="B170" i="3"/>
  <c r="B171" i="3"/>
  <c r="B172" i="3"/>
  <c r="B173" i="3"/>
  <c r="B174" i="3"/>
  <c r="B175" i="3"/>
  <c r="B6"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7" i="3"/>
  <c r="C38" i="3"/>
  <c r="C39" i="3"/>
  <c r="C40" i="3"/>
  <c r="C41" i="3"/>
  <c r="C44" i="3"/>
  <c r="C45" i="3"/>
  <c r="C46" i="3"/>
  <c r="C47" i="3"/>
  <c r="C48" i="3"/>
  <c r="C49" i="3"/>
  <c r="C50" i="3"/>
  <c r="C51" i="3"/>
  <c r="C52" i="3"/>
  <c r="C53" i="3"/>
  <c r="C57" i="3"/>
  <c r="C62" i="3"/>
  <c r="C68" i="3"/>
  <c r="C69" i="3"/>
  <c r="C70" i="3"/>
  <c r="C71" i="3"/>
  <c r="C72" i="3"/>
  <c r="C74" i="3"/>
  <c r="C75" i="3"/>
  <c r="C76" i="3"/>
  <c r="C77" i="3"/>
  <c r="C78" i="3"/>
  <c r="C79" i="3"/>
  <c r="C80" i="3"/>
  <c r="C82" i="3"/>
  <c r="C83" i="3"/>
  <c r="C84" i="3"/>
  <c r="C85" i="3"/>
  <c r="C86" i="3"/>
  <c r="C87" i="3"/>
  <c r="C88" i="3"/>
  <c r="C89" i="3"/>
  <c r="C90" i="3"/>
  <c r="C91" i="3"/>
  <c r="C92" i="3"/>
  <c r="C93" i="3"/>
  <c r="C94" i="3"/>
  <c r="C95" i="3"/>
  <c r="C96" i="3"/>
  <c r="C97" i="3"/>
  <c r="C98" i="3"/>
  <c r="C99" i="3"/>
  <c r="C100" i="3"/>
  <c r="C102" i="3"/>
  <c r="C103" i="3"/>
  <c r="C104" i="3"/>
  <c r="C105" i="3"/>
  <c r="C106" i="3"/>
  <c r="C107" i="3"/>
  <c r="C108" i="3"/>
  <c r="C109" i="3"/>
  <c r="C110" i="3"/>
  <c r="C111" i="3"/>
  <c r="C112" i="3"/>
  <c r="C113" i="3"/>
  <c r="C114" i="3"/>
  <c r="C115" i="3"/>
  <c r="C116" i="3"/>
  <c r="C118" i="3"/>
  <c r="C119" i="3"/>
  <c r="C120" i="3"/>
  <c r="C122" i="3"/>
  <c r="C123" i="3"/>
  <c r="C124" i="3"/>
  <c r="C125" i="3"/>
  <c r="C126" i="3"/>
  <c r="C127" i="3"/>
  <c r="C128" i="3"/>
  <c r="C148" i="3"/>
  <c r="C149" i="3"/>
  <c r="C150" i="3"/>
  <c r="C151" i="3"/>
  <c r="C153" i="3"/>
  <c r="C154" i="3"/>
  <c r="C155" i="3"/>
  <c r="C156" i="3"/>
  <c r="C157" i="3"/>
  <c r="C159" i="3"/>
  <c r="C160" i="3"/>
  <c r="C161" i="3"/>
  <c r="C162" i="3"/>
  <c r="C164" i="3"/>
  <c r="C165" i="3"/>
  <c r="C166" i="3"/>
  <c r="C167" i="3"/>
  <c r="C168" i="3"/>
  <c r="C169" i="3"/>
  <c r="C170" i="3"/>
  <c r="C171" i="3"/>
  <c r="C172" i="3"/>
  <c r="C173" i="3"/>
  <c r="C174" i="3"/>
  <c r="C175" i="3"/>
  <c r="C7" i="3"/>
  <c r="M11" i="1"/>
  <c r="M13" i="1" s="1"/>
  <c r="M15" i="1" s="1"/>
  <c r="M17" i="1" s="1"/>
  <c r="K10" i="1"/>
  <c r="L10" i="1" s="1"/>
  <c r="K13" i="2"/>
  <c r="V4" i="1"/>
  <c r="W4" i="1" s="1"/>
  <c r="S26" i="1"/>
  <c r="R6" i="3" s="1"/>
  <c r="E27" i="1"/>
  <c r="G27" i="1" s="1"/>
  <c r="V22" i="1"/>
  <c r="N22" i="1"/>
  <c r="K17" i="2"/>
  <c r="K19" i="2" s="1"/>
  <c r="K38" i="2"/>
  <c r="Q19" i="2" l="1"/>
  <c r="Q27" i="2" s="1"/>
  <c r="R3" i="2"/>
  <c r="S3" i="2" s="1"/>
  <c r="X2" i="1"/>
  <c r="W16" i="1"/>
  <c r="M19" i="1"/>
  <c r="M20" i="1"/>
  <c r="G24" i="2"/>
  <c r="K24" i="2" s="1"/>
  <c r="Q24" i="2" s="1"/>
  <c r="K35" i="2"/>
  <c r="K27" i="2"/>
  <c r="L7" i="1"/>
  <c r="M5" i="1"/>
  <c r="M7" i="1"/>
  <c r="V10" i="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AQ10" i="1" s="1"/>
  <c r="AR10" i="1" s="1"/>
  <c r="AS10" i="1" s="1"/>
  <c r="AT10" i="1" s="1"/>
  <c r="AU10" i="1" s="1"/>
  <c r="AV10" i="1" s="1"/>
  <c r="AW10" i="1" s="1"/>
  <c r="AX10" i="1" s="1"/>
  <c r="AY10" i="1" s="1"/>
  <c r="AZ10" i="1" s="1"/>
  <c r="K11" i="1"/>
  <c r="L5" i="1"/>
  <c r="L22" i="1" s="1"/>
  <c r="O25" i="4"/>
  <c r="X4" i="1"/>
  <c r="L11" i="1"/>
  <c r="L13" i="1" s="1"/>
  <c r="V11" i="1"/>
  <c r="W11" i="1" s="1"/>
  <c r="X11" i="1" s="1"/>
  <c r="Y11" i="1" s="1"/>
  <c r="Z11" i="1" s="1"/>
  <c r="AA11" i="1" s="1"/>
  <c r="AB11" i="1" s="1"/>
  <c r="AC11" i="1" s="1"/>
  <c r="AD11" i="1" s="1"/>
  <c r="AE11" i="1" s="1"/>
  <c r="AF11" i="1" s="1"/>
  <c r="AG11" i="1" s="1"/>
  <c r="AH11" i="1" s="1"/>
  <c r="AI11" i="1" s="1"/>
  <c r="AJ11" i="1" s="1"/>
  <c r="AK11" i="1" s="1"/>
  <c r="AL11" i="1" s="1"/>
  <c r="AM11" i="1" s="1"/>
  <c r="AN11" i="1" s="1"/>
  <c r="AO11" i="1" s="1"/>
  <c r="AP11" i="1" s="1"/>
  <c r="AQ11" i="1" s="1"/>
  <c r="AR11" i="1" s="1"/>
  <c r="AS11" i="1" s="1"/>
  <c r="AT11" i="1" s="1"/>
  <c r="AU11" i="1" s="1"/>
  <c r="AV11" i="1" s="1"/>
  <c r="AW11" i="1" s="1"/>
  <c r="AX11" i="1" s="1"/>
  <c r="AY11" i="1" s="1"/>
  <c r="AZ11" i="1" s="1"/>
  <c r="K13" i="1"/>
  <c r="Q13" i="2"/>
  <c r="R13" i="2" s="1"/>
  <c r="S13" i="2" s="1"/>
  <c r="T13" i="2" s="1"/>
  <c r="U13" i="2" s="1"/>
  <c r="V13" i="2" s="1"/>
  <c r="W13" i="2" s="1"/>
  <c r="X13" i="2" s="1"/>
  <c r="Y13" i="2" s="1"/>
  <c r="Z13" i="2" s="1"/>
  <c r="AA13" i="2" s="1"/>
  <c r="AB13" i="2" s="1"/>
  <c r="AC13" i="2" s="1"/>
  <c r="AD13" i="2" s="1"/>
  <c r="K27" i="1"/>
  <c r="K36" i="1"/>
  <c r="K37" i="1" s="1"/>
  <c r="T3" i="2"/>
  <c r="O24" i="4"/>
  <c r="L16" i="1"/>
  <c r="M22" i="1" l="1"/>
  <c r="K25" i="2"/>
  <c r="K33" i="2"/>
  <c r="K34" i="2" s="1"/>
  <c r="K36" i="2"/>
  <c r="K37" i="2" s="1"/>
  <c r="X16" i="1"/>
  <c r="Y2" i="1"/>
  <c r="K28" i="1"/>
  <c r="V27" i="1"/>
  <c r="W27" i="1" s="1"/>
  <c r="L27" i="1"/>
  <c r="L28" i="1" s="1"/>
  <c r="L30" i="1" s="1"/>
  <c r="L15" i="1" s="1"/>
  <c r="L17" i="1" s="1"/>
  <c r="L19" i="1" s="1"/>
  <c r="K41" i="1"/>
  <c r="V13" i="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 r="AZ13" i="1" s="1"/>
  <c r="K15" i="1"/>
  <c r="Y4" i="1"/>
  <c r="O33" i="4"/>
  <c r="O28" i="4"/>
  <c r="O30" i="4" s="1"/>
  <c r="U3" i="2"/>
  <c r="K16" i="2"/>
  <c r="Q16" i="2" s="1"/>
  <c r="Q14" i="2"/>
  <c r="R14" i="2" s="1"/>
  <c r="S14" i="2" s="1"/>
  <c r="T14" i="2" s="1"/>
  <c r="U14" i="2" s="1"/>
  <c r="V14" i="2" s="1"/>
  <c r="W14" i="2" s="1"/>
  <c r="X14" i="2" s="1"/>
  <c r="Y14" i="2" s="1"/>
  <c r="Z14" i="2" s="1"/>
  <c r="AA14" i="2" s="1"/>
  <c r="AB14" i="2" s="1"/>
  <c r="AC14" i="2" s="1"/>
  <c r="AD14" i="2" s="1"/>
  <c r="R24" i="2"/>
  <c r="S24" i="2" s="1"/>
  <c r="T24" i="2" s="1"/>
  <c r="U24" i="2" s="1"/>
  <c r="V24" i="2" s="1"/>
  <c r="W24" i="2" s="1"/>
  <c r="X24" i="2" s="1"/>
  <c r="Y24" i="2" s="1"/>
  <c r="Z24" i="2" s="1"/>
  <c r="AA24" i="2" s="1"/>
  <c r="AB24" i="2" s="1"/>
  <c r="AC24" i="2" s="1"/>
  <c r="AD24" i="2" s="1"/>
  <c r="Q25" i="2"/>
  <c r="C38" i="2" l="1"/>
  <c r="Z2" i="1"/>
  <c r="Y16" i="1"/>
  <c r="N15" i="1"/>
  <c r="K17" i="1"/>
  <c r="K19" i="1" s="1"/>
  <c r="X27" i="1"/>
  <c r="O31" i="4"/>
  <c r="O32" i="4" s="1"/>
  <c r="O34" i="4" s="1"/>
  <c r="O36" i="4" s="1"/>
  <c r="Z4" i="1"/>
  <c r="R16" i="2"/>
  <c r="S16" i="2" s="1"/>
  <c r="T16" i="2" s="1"/>
  <c r="U16" i="2" s="1"/>
  <c r="V16" i="2" s="1"/>
  <c r="W16" i="2" s="1"/>
  <c r="X16" i="2" s="1"/>
  <c r="Y16" i="2" s="1"/>
  <c r="Z16" i="2" s="1"/>
  <c r="AA16" i="2" s="1"/>
  <c r="AB16" i="2" s="1"/>
  <c r="AC16" i="2" s="1"/>
  <c r="AD16" i="2" s="1"/>
  <c r="Q28" i="2"/>
  <c r="R17" i="2"/>
  <c r="R19" i="2" s="1"/>
  <c r="V3" i="2"/>
  <c r="N27" i="1"/>
  <c r="K40" i="1"/>
  <c r="K42" i="1" s="1"/>
  <c r="K43" i="1" s="1"/>
  <c r="R30" i="1"/>
  <c r="V28" i="1"/>
  <c r="V30" i="1" s="1"/>
  <c r="W15" i="1" s="1"/>
  <c r="W17" i="1" s="1"/>
  <c r="P18" i="1"/>
  <c r="AA2" i="1" l="1"/>
  <c r="Z16" i="1"/>
  <c r="W19" i="1"/>
  <c r="X18" i="1" s="1"/>
  <c r="W20" i="1"/>
  <c r="W22" i="1"/>
  <c r="W28" i="1" s="1"/>
  <c r="W30" i="1" s="1"/>
  <c r="X15" i="1" s="1"/>
  <c r="X17" i="1" s="1"/>
  <c r="R27" i="2"/>
  <c r="R25" i="2"/>
  <c r="AA4" i="1"/>
  <c r="Y27" i="1"/>
  <c r="O37" i="4"/>
  <c r="O38" i="4" s="1"/>
  <c r="W3" i="2"/>
  <c r="AA16" i="1" l="1"/>
  <c r="AB2" i="1"/>
  <c r="X3" i="2"/>
  <c r="S17" i="2"/>
  <c r="S19" i="2" s="1"/>
  <c r="R28" i="2"/>
  <c r="Z27" i="1"/>
  <c r="X22" i="1"/>
  <c r="X28" i="1" s="1"/>
  <c r="X30" i="1" s="1"/>
  <c r="Y15" i="1" s="1"/>
  <c r="Y17" i="1" s="1"/>
  <c r="AB4" i="1"/>
  <c r="X19" i="1"/>
  <c r="X20" i="1" s="1"/>
  <c r="AC2" i="1" l="1"/>
  <c r="AB16" i="1"/>
  <c r="AA27" i="1"/>
  <c r="AC4" i="1"/>
  <c r="S27" i="2"/>
  <c r="S25" i="2"/>
  <c r="Y22" i="1"/>
  <c r="Y28" i="1" s="1"/>
  <c r="Y30" i="1" s="1"/>
  <c r="Z15" i="1" s="1"/>
  <c r="Z17" i="1" s="1"/>
  <c r="Y3" i="2"/>
  <c r="Y18" i="1"/>
  <c r="AC16" i="1" l="1"/>
  <c r="AD2" i="1"/>
  <c r="Z22" i="1"/>
  <c r="Z28" i="1" s="1"/>
  <c r="Z30" i="1" s="1"/>
  <c r="AA15" i="1" s="1"/>
  <c r="AA17" i="1" s="1"/>
  <c r="Y19" i="1"/>
  <c r="Y20" i="1" s="1"/>
  <c r="AD4" i="1"/>
  <c r="AB27" i="1"/>
  <c r="Z3" i="2"/>
  <c r="S28" i="2"/>
  <c r="T17" i="2"/>
  <c r="T19" i="2" s="1"/>
  <c r="Z18" i="1" l="1"/>
  <c r="AE2" i="1"/>
  <c r="AD16" i="1"/>
  <c r="AA22" i="1"/>
  <c r="AA28" i="1" s="1"/>
  <c r="AA30" i="1" s="1"/>
  <c r="AB15" i="1" s="1"/>
  <c r="AB17" i="1" s="1"/>
  <c r="AA3" i="2"/>
  <c r="AE4" i="1"/>
  <c r="T27" i="2"/>
  <c r="T25" i="2"/>
  <c r="Z19" i="1"/>
  <c r="Z20" i="1" s="1"/>
  <c r="AC27" i="1"/>
  <c r="AF2" i="1" l="1"/>
  <c r="AE16" i="1"/>
  <c r="AA18" i="1"/>
  <c r="AF4" i="1"/>
  <c r="AB3" i="2"/>
  <c r="AB22" i="1"/>
  <c r="AB28" i="1" s="1"/>
  <c r="AB30" i="1" s="1"/>
  <c r="AC15" i="1" s="1"/>
  <c r="AC17" i="1" s="1"/>
  <c r="AD27" i="1"/>
  <c r="T28" i="2"/>
  <c r="U17" i="2"/>
  <c r="U19" i="2" s="1"/>
  <c r="AF16" i="1" l="1"/>
  <c r="AG2" i="1"/>
  <c r="AC3" i="2"/>
  <c r="AC22" i="1"/>
  <c r="AC28" i="1" s="1"/>
  <c r="AC30" i="1" s="1"/>
  <c r="AD15" i="1" s="1"/>
  <c r="AD17" i="1" s="1"/>
  <c r="U25" i="2"/>
  <c r="U27" i="2"/>
  <c r="AG4" i="1"/>
  <c r="AE27" i="1"/>
  <c r="AA19" i="1"/>
  <c r="AA20" i="1" s="1"/>
  <c r="AH2" i="1" l="1"/>
  <c r="AG16" i="1"/>
  <c r="U28" i="2"/>
  <c r="V17" i="2"/>
  <c r="V19" i="2" s="1"/>
  <c r="AD3" i="2"/>
  <c r="AD22" i="1"/>
  <c r="AD28" i="1" s="1"/>
  <c r="AD30" i="1" s="1"/>
  <c r="AE15" i="1" s="1"/>
  <c r="AE17" i="1" s="1"/>
  <c r="AF27" i="1"/>
  <c r="AB18" i="1"/>
  <c r="AH4" i="1"/>
  <c r="AI2" i="1" l="1"/>
  <c r="AH16" i="1"/>
  <c r="AI4" i="1"/>
  <c r="AB19" i="1"/>
  <c r="AB20" i="1" s="1"/>
  <c r="V25" i="2"/>
  <c r="V27" i="2"/>
  <c r="AE22" i="1"/>
  <c r="AE28" i="1" s="1"/>
  <c r="AE30" i="1" s="1"/>
  <c r="AF15" i="1" s="1"/>
  <c r="AF17" i="1" s="1"/>
  <c r="AG27" i="1"/>
  <c r="AJ2" i="1" l="1"/>
  <c r="AI16" i="1"/>
  <c r="AF22" i="1"/>
  <c r="AF28" i="1" s="1"/>
  <c r="AF30" i="1" s="1"/>
  <c r="AG15" i="1" s="1"/>
  <c r="AG17" i="1" s="1"/>
  <c r="AJ4" i="1"/>
  <c r="AH27" i="1"/>
  <c r="V28" i="2"/>
  <c r="W17" i="2"/>
  <c r="W19" i="2" s="1"/>
  <c r="AC18" i="1"/>
  <c r="AJ16" i="1" l="1"/>
  <c r="AK2" i="1"/>
  <c r="AI27" i="1"/>
  <c r="AC19" i="1"/>
  <c r="AC20" i="1" s="1"/>
  <c r="AG22" i="1"/>
  <c r="AG28" i="1" s="1"/>
  <c r="AG30" i="1" s="1"/>
  <c r="AH15" i="1" s="1"/>
  <c r="AH17" i="1" s="1"/>
  <c r="W27" i="2"/>
  <c r="W25" i="2"/>
  <c r="AK4" i="1"/>
  <c r="AL2" i="1" l="1"/>
  <c r="AK16" i="1"/>
  <c r="AH22" i="1"/>
  <c r="AH28" i="1" s="1"/>
  <c r="AH30" i="1" s="1"/>
  <c r="AI15" i="1" s="1"/>
  <c r="AI17" i="1" s="1"/>
  <c r="AD18" i="1"/>
  <c r="AL4" i="1"/>
  <c r="X17" i="2"/>
  <c r="X19" i="2" s="1"/>
  <c r="W28" i="2"/>
  <c r="AJ27" i="1"/>
  <c r="AM2" i="1" l="1"/>
  <c r="AL16" i="1"/>
  <c r="X27" i="2"/>
  <c r="X25" i="2"/>
  <c r="AK27" i="1"/>
  <c r="AM4" i="1"/>
  <c r="AD19" i="1"/>
  <c r="AD20" i="1" s="1"/>
  <c r="AI22" i="1"/>
  <c r="AI28" i="1" s="1"/>
  <c r="AI30" i="1" s="1"/>
  <c r="AJ15" i="1" s="1"/>
  <c r="AJ17" i="1" s="1"/>
  <c r="AN2" i="1" l="1"/>
  <c r="AM16" i="1"/>
  <c r="AE18" i="1"/>
  <c r="AL27" i="1"/>
  <c r="AJ22" i="1"/>
  <c r="AJ28" i="1" s="1"/>
  <c r="AJ30" i="1" s="1"/>
  <c r="AK15" i="1" s="1"/>
  <c r="AK17" i="1" s="1"/>
  <c r="AN4" i="1"/>
  <c r="Y17" i="2"/>
  <c r="Y19" i="2" s="1"/>
  <c r="X28" i="2"/>
  <c r="AN16" i="1" l="1"/>
  <c r="AO2" i="1"/>
  <c r="AM27" i="1"/>
  <c r="Y27" i="2"/>
  <c r="Y25" i="2"/>
  <c r="AO4" i="1"/>
  <c r="AK22" i="1"/>
  <c r="AK28" i="1" s="1"/>
  <c r="AK30" i="1" s="1"/>
  <c r="AL15" i="1" s="1"/>
  <c r="AL17" i="1" s="1"/>
  <c r="AE19" i="1"/>
  <c r="AE20" i="1" s="1"/>
  <c r="AF18" i="1" l="1"/>
  <c r="AO16" i="1"/>
  <c r="AP2" i="1"/>
  <c r="AF19" i="1"/>
  <c r="AF20" i="1" s="1"/>
  <c r="AG18" i="1"/>
  <c r="AN27" i="1"/>
  <c r="AP4" i="1"/>
  <c r="AL22" i="1"/>
  <c r="AL28" i="1" s="1"/>
  <c r="AL30" i="1" s="1"/>
  <c r="AM15" i="1" s="1"/>
  <c r="AM17" i="1" s="1"/>
  <c r="Z17" i="2"/>
  <c r="Z19" i="2" s="1"/>
  <c r="Y28" i="2"/>
  <c r="AQ2" i="1" l="1"/>
  <c r="AP16" i="1"/>
  <c r="AM22" i="1"/>
  <c r="AM28" i="1" s="1"/>
  <c r="AM30" i="1" s="1"/>
  <c r="AN15" i="1" s="1"/>
  <c r="AN17" i="1" s="1"/>
  <c r="AO27" i="1"/>
  <c r="Z25" i="2"/>
  <c r="Z27" i="2"/>
  <c r="AG19" i="1"/>
  <c r="AG20" i="1" s="1"/>
  <c r="AH18" i="1"/>
  <c r="AQ4" i="1"/>
  <c r="AQ16" i="1" l="1"/>
  <c r="AR2" i="1"/>
  <c r="AR4" i="1"/>
  <c r="AP27" i="1"/>
  <c r="AH19" i="1"/>
  <c r="AH20" i="1" s="1"/>
  <c r="AI18" i="1"/>
  <c r="AA17" i="2"/>
  <c r="AA19" i="2" s="1"/>
  <c r="Z28" i="2"/>
  <c r="AN22" i="1"/>
  <c r="AN28" i="1" s="1"/>
  <c r="AN30" i="1" s="1"/>
  <c r="AO15" i="1" s="1"/>
  <c r="AO17" i="1" s="1"/>
  <c r="AR16" i="1" l="1"/>
  <c r="AS2" i="1"/>
  <c r="AA25" i="2"/>
  <c r="AA27" i="2"/>
  <c r="AQ27" i="1"/>
  <c r="AI19" i="1"/>
  <c r="AI20" i="1" s="1"/>
  <c r="AO22" i="1"/>
  <c r="AO28" i="1" s="1"/>
  <c r="AO30" i="1" s="1"/>
  <c r="AP15" i="1" s="1"/>
  <c r="AP17" i="1" s="1"/>
  <c r="AS4" i="1"/>
  <c r="AS16" i="1" l="1"/>
  <c r="AT2" i="1"/>
  <c r="AJ18" i="1"/>
  <c r="AJ19" i="1"/>
  <c r="AJ20" i="1" s="1"/>
  <c r="AK18" i="1"/>
  <c r="AR27" i="1"/>
  <c r="AT4" i="1"/>
  <c r="AA28" i="2"/>
  <c r="AB17" i="2"/>
  <c r="AB19" i="2" s="1"/>
  <c r="AP22" i="1"/>
  <c r="AP28" i="1" s="1"/>
  <c r="AP30" i="1" s="1"/>
  <c r="AQ15" i="1" s="1"/>
  <c r="AQ17" i="1" s="1"/>
  <c r="AT16" i="1" l="1"/>
  <c r="AU2" i="1"/>
  <c r="AB27" i="2"/>
  <c r="AB25" i="2"/>
  <c r="AS27" i="1"/>
  <c r="AQ22" i="1"/>
  <c r="AQ28" i="1" s="1"/>
  <c r="AQ30" i="1" s="1"/>
  <c r="AR15" i="1" s="1"/>
  <c r="AR17" i="1" s="1"/>
  <c r="AK19" i="1"/>
  <c r="AK20" i="1" s="1"/>
  <c r="AL18" i="1"/>
  <c r="AU4" i="1"/>
  <c r="AU16" i="1" l="1"/>
  <c r="AV2" i="1"/>
  <c r="AL19" i="1"/>
  <c r="AL20" i="1" s="1"/>
  <c r="AM18" i="1"/>
  <c r="AV4" i="1"/>
  <c r="AT27" i="1"/>
  <c r="AR22" i="1"/>
  <c r="AR28" i="1" s="1"/>
  <c r="AR30" i="1" s="1"/>
  <c r="AS15" i="1" s="1"/>
  <c r="AS17" i="1" s="1"/>
  <c r="AB28" i="2"/>
  <c r="AC17" i="2"/>
  <c r="AC19" i="2" s="1"/>
  <c r="AV16" i="1" l="1"/>
  <c r="AW2" i="1"/>
  <c r="AC25" i="2"/>
  <c r="AC27" i="2"/>
  <c r="AM19" i="1"/>
  <c r="AM20" i="1" s="1"/>
  <c r="AS22" i="1"/>
  <c r="AS28" i="1" s="1"/>
  <c r="AS30" i="1" s="1"/>
  <c r="AT15" i="1" s="1"/>
  <c r="AT17" i="1" s="1"/>
  <c r="AW4" i="1"/>
  <c r="AU27" i="1"/>
  <c r="AW16" i="1" l="1"/>
  <c r="AX2" i="1"/>
  <c r="AX4" i="1"/>
  <c r="AN18" i="1"/>
  <c r="AT22" i="1"/>
  <c r="AT28" i="1" s="1"/>
  <c r="AT30" i="1" s="1"/>
  <c r="AU15" i="1" s="1"/>
  <c r="AU17" i="1" s="1"/>
  <c r="AC28" i="2"/>
  <c r="AD17" i="2"/>
  <c r="AD19" i="2" s="1"/>
  <c r="AV27" i="1"/>
  <c r="AY2" i="1" l="1"/>
  <c r="AX16" i="1"/>
  <c r="AD25" i="2"/>
  <c r="AD27" i="2"/>
  <c r="AD28" i="2" s="1"/>
  <c r="AN19" i="1"/>
  <c r="AN20" i="1" s="1"/>
  <c r="AO18" i="1"/>
  <c r="AW27" i="1"/>
  <c r="AU22" i="1"/>
  <c r="AU28" i="1" s="1"/>
  <c r="AU30" i="1" s="1"/>
  <c r="AV15" i="1" s="1"/>
  <c r="AV17" i="1" s="1"/>
  <c r="AY4" i="1"/>
  <c r="AZ2" i="1" l="1"/>
  <c r="AZ16" i="1" s="1"/>
  <c r="AY16" i="1"/>
  <c r="AV22" i="1"/>
  <c r="AV28" i="1" s="1"/>
  <c r="AV30" i="1" s="1"/>
  <c r="AW15" i="1" s="1"/>
  <c r="AW17" i="1" s="1"/>
  <c r="AO19" i="1"/>
  <c r="AO20" i="1" s="1"/>
  <c r="AP18" i="1"/>
  <c r="AX27" i="1"/>
  <c r="AZ4" i="1"/>
  <c r="AW22" i="1" l="1"/>
  <c r="AW28" i="1" s="1"/>
  <c r="AW30" i="1" s="1"/>
  <c r="AX15" i="1" s="1"/>
  <c r="AX17" i="1" s="1"/>
  <c r="AP19" i="1"/>
  <c r="AP20" i="1" s="1"/>
  <c r="AY27" i="1"/>
  <c r="AX22" i="1" l="1"/>
  <c r="AX28" i="1" s="1"/>
  <c r="AX30" i="1" s="1"/>
  <c r="AY15" i="1" s="1"/>
  <c r="AY17" i="1" s="1"/>
  <c r="AQ18" i="1"/>
  <c r="AZ27" i="1"/>
  <c r="AQ19" i="1" l="1"/>
  <c r="AQ20" i="1" s="1"/>
  <c r="AR18" i="1"/>
  <c r="AY22" i="1"/>
  <c r="AY28" i="1" s="1"/>
  <c r="AY30" i="1" s="1"/>
  <c r="AZ15" i="1" s="1"/>
  <c r="AZ17" i="1" s="1"/>
  <c r="AZ22" i="1" l="1"/>
  <c r="AZ28" i="1" s="1"/>
  <c r="AZ30" i="1" s="1"/>
  <c r="R31" i="1" s="1"/>
  <c r="AR19" i="1"/>
  <c r="AR20" i="1" s="1"/>
  <c r="AS18" i="1" l="1"/>
  <c r="AS19" i="1" l="1"/>
  <c r="AS20" i="1" s="1"/>
  <c r="AT18" i="1" l="1"/>
  <c r="AT19" i="1" l="1"/>
  <c r="AT20" i="1" s="1"/>
  <c r="AU18" i="1"/>
  <c r="AU19" i="1" l="1"/>
  <c r="AU20" i="1" s="1"/>
  <c r="AV18" i="1" l="1"/>
  <c r="AV19" i="1" l="1"/>
  <c r="AV20" i="1" s="1"/>
  <c r="AW18" i="1" l="1"/>
  <c r="AW19" i="1" l="1"/>
  <c r="AW20" i="1" s="1"/>
  <c r="AX18" i="1" l="1"/>
  <c r="AX19" i="1" l="1"/>
  <c r="AX20" i="1" s="1"/>
  <c r="AY18" i="1"/>
  <c r="AY19" i="1" l="1"/>
  <c r="AY20" i="1" s="1"/>
  <c r="AZ18" i="1" l="1"/>
  <c r="AZ19" i="1" s="1"/>
  <c r="AZ20" i="1" s="1"/>
</calcChain>
</file>

<file path=xl/sharedStrings.xml><?xml version="1.0" encoding="utf-8"?>
<sst xmlns="http://schemas.openxmlformats.org/spreadsheetml/2006/main" count="621" uniqueCount="547">
  <si>
    <t>Sales Price</t>
  </si>
  <si>
    <t>Appraised Value</t>
  </si>
  <si>
    <t>x 25%</t>
  </si>
  <si>
    <t>VA Funding Fee</t>
  </si>
  <si>
    <t>Total Down Payment</t>
  </si>
  <si>
    <t>1) Required Guaranty &amp; Down Payment</t>
  </si>
  <si>
    <t>3) Down Payment</t>
  </si>
  <si>
    <t>Required Down Payment</t>
  </si>
  <si>
    <t>4) Maximum Loan Amount</t>
  </si>
  <si>
    <t>Lesser of Sales Price/Appraisal</t>
  </si>
  <si>
    <t>=</t>
  </si>
  <si>
    <t>-</t>
  </si>
  <si>
    <t>A</t>
  </si>
  <si>
    <t>B</t>
  </si>
  <si>
    <t>C</t>
  </si>
  <si>
    <t>D</t>
  </si>
  <si>
    <t>E</t>
  </si>
  <si>
    <t>F</t>
  </si>
  <si>
    <t>G</t>
  </si>
  <si>
    <t>H</t>
  </si>
  <si>
    <t>i</t>
  </si>
  <si>
    <t>I</t>
  </si>
  <si>
    <t>J</t>
  </si>
  <si>
    <t>K</t>
  </si>
  <si>
    <t>L</t>
  </si>
  <si>
    <t>M</t>
  </si>
  <si>
    <t>N</t>
  </si>
  <si>
    <t>O</t>
  </si>
  <si>
    <t>P</t>
  </si>
  <si>
    <t>Q</t>
  </si>
  <si>
    <t>R</t>
  </si>
  <si>
    <t>A - B</t>
  </si>
  <si>
    <t>Purchase Price</t>
  </si>
  <si>
    <t>Est. Prepaids</t>
  </si>
  <si>
    <t>Funding Fee</t>
  </si>
  <si>
    <t>Est. Closing Costs &amp; Discount Points</t>
  </si>
  <si>
    <t>Total Costs</t>
  </si>
  <si>
    <t>a</t>
  </si>
  <si>
    <t>b</t>
  </si>
  <si>
    <t>c</t>
  </si>
  <si>
    <t>d</t>
  </si>
  <si>
    <t>e</t>
  </si>
  <si>
    <t>f</t>
  </si>
  <si>
    <t>Seller-paid costs</t>
  </si>
  <si>
    <t>g</t>
  </si>
  <si>
    <t>Other credits</t>
  </si>
  <si>
    <t>h</t>
  </si>
  <si>
    <t>Funding Fee financed</t>
  </si>
  <si>
    <t>j</t>
  </si>
  <si>
    <t>k</t>
  </si>
  <si>
    <t>Base Loan Amount (excluding Funding Fee financed)</t>
  </si>
  <si>
    <t>Total Credits</t>
  </si>
  <si>
    <t>Cash from Borrower</t>
  </si>
  <si>
    <t>e - j</t>
  </si>
  <si>
    <t>Refinance Payoff</t>
  </si>
  <si>
    <t xml:space="preserve">Down Payment Due from Appraisal Shortfall: </t>
  </si>
  <si>
    <r>
      <t xml:space="preserve">Less: Previously Used Entitlement </t>
    </r>
    <r>
      <rPr>
        <b/>
        <sz val="8"/>
        <rFont val="Arial"/>
        <family val="2"/>
      </rPr>
      <t>Not Restorable</t>
    </r>
  </si>
  <si>
    <t>Base LTV</t>
  </si>
  <si>
    <t>Total LTV</t>
  </si>
  <si>
    <t>Exemptions:</t>
  </si>
  <si>
    <t>1. Veterans receiving VA compensation for service-connected disabilities</t>
  </si>
  <si>
    <t>2. Veterans who would be entitled to receive compensation for service-connected disabilities if they did not receive retirement pay.</t>
  </si>
  <si>
    <t>3. Surviving spouses of veterans who died in service or from service-connected disabilities (regardless of whether such surviving spouses</t>
  </si>
  <si>
    <t>are veterans with their own entitlements and whether they are using their own entitlements on the loan).</t>
  </si>
  <si>
    <t>4. Veterans who are rated by the VA as eligible to receive compensation as a result of pre-discharge disaility examination and rating.</t>
  </si>
  <si>
    <t>= R(1)</t>
  </si>
  <si>
    <t>= R(2)</t>
  </si>
  <si>
    <t>R(1)</t>
  </si>
  <si>
    <t>R(2)</t>
  </si>
  <si>
    <t>5) Cash to Close</t>
  </si>
  <si>
    <t>Down Payment</t>
  </si>
  <si>
    <t>6) Funding Fee Tables</t>
  </si>
  <si>
    <t>Circular 26-11-19 (Nov 22, 2011)</t>
  </si>
  <si>
    <t>State County</t>
  </si>
  <si>
    <t>2013 VA Loan</t>
  </si>
  <si>
    <t>Limit Regional Loan Center</t>
  </si>
  <si>
    <t>AK ALEUTIANS EAST 625,500 DENVER</t>
  </si>
  <si>
    <t>AK ALEUTIANS WEST 625,500 DENVER</t>
  </si>
  <si>
    <t>AK ANCHORAGE 625,500 DENVER</t>
  </si>
  <si>
    <t>AK BETHEL 625,500 DENVER</t>
  </si>
  <si>
    <t>AK BRISTOL BAY 625,500 DENVER</t>
  </si>
  <si>
    <t>AK DENALI 625,500 DENVER</t>
  </si>
  <si>
    <t>AK DILLINGHAM 625,500 DENVER</t>
  </si>
  <si>
    <t>AK FAIRBANKS NORTH 625,500 DENVER</t>
  </si>
  <si>
    <t>AK HAINES 625,500 DENVER</t>
  </si>
  <si>
    <t>AK HOONAH-ANGOON C 625,500 DENVER</t>
  </si>
  <si>
    <t>AK JUNEAU 625,500 DENVER</t>
  </si>
  <si>
    <t>AK KENAI PENINSULA 625,500 DENVER</t>
  </si>
  <si>
    <t>AK KETCHIKAN GATEW 625,500 DENVER</t>
  </si>
  <si>
    <t>AK KODIAK ISLAND 625,500 DENVER</t>
  </si>
  <si>
    <t>AK LAKE AND PENINS 625,500 DENVER</t>
  </si>
  <si>
    <t>AK MATANUSKA-SUSIT 625,500 DENVER</t>
  </si>
  <si>
    <t>AK NOME 625,500 DENVER</t>
  </si>
  <si>
    <t>AK NORTH SLOPE 625,500 DENVER</t>
  </si>
  <si>
    <t>AK NORTHWEST ARCTI 625,500 DENVER</t>
  </si>
  <si>
    <t>AK PETERSBURG CENS 625,500 DENVER</t>
  </si>
  <si>
    <t>AK PRINCE OF WALES 625,500 DENVER</t>
  </si>
  <si>
    <t>AK SITKA 625,500 DENVER</t>
  </si>
  <si>
    <t>AK SKAGWAY MUNICIP 625,500 DENVER</t>
  </si>
  <si>
    <t>AK SOUTHEAST FAIRB 625,500 DENVER</t>
  </si>
  <si>
    <t>AK VALDEZ-CORDOVA 625,500 DENVER</t>
  </si>
  <si>
    <t>AK WRANGELL CITY A 625,500 DENVER</t>
  </si>
  <si>
    <t>AK YAKUTAT CITY 625,500 DENVER</t>
  </si>
  <si>
    <t>AK YUKON-KOYUKUK 625,500 DENVER</t>
  </si>
  <si>
    <t>CA ALAMEDA 987,500 PHOENIX</t>
  </si>
  <si>
    <t>CA CONTRA COSTA 987,500 PHOENIX</t>
  </si>
  <si>
    <t>CA LOS ANGELES 668,750 PHOENIX</t>
  </si>
  <si>
    <t>CA MARIN 987,500 PHOENIX</t>
  </si>
  <si>
    <t>CA MONTEREY 425,000 PHOENIX</t>
  </si>
  <si>
    <t>CA NAPA 521,250 PHOENIX</t>
  </si>
  <si>
    <t>CA ORANGE 668,750 PHOENIX</t>
  </si>
  <si>
    <t>CA SAN BENITO 823,750 PHOENIX</t>
  </si>
  <si>
    <t>CA SAN DIEGO 500,000 PHOENIX</t>
  </si>
  <si>
    <t>CA SAN FRANCISCO 987,500 PHOENIX</t>
  </si>
  <si>
    <t>CA SAN LUIS OBISPO 481,250 PHOENIX</t>
  </si>
  <si>
    <t>CA SAN MATEO 987,500 PHOENIX</t>
  </si>
  <si>
    <t>CA SANTA BARBARA 593,750 PHOENIX</t>
  </si>
  <si>
    <t>CA SANTA CLARA 823,750 PHOENIX</t>
  </si>
  <si>
    <t>CA SANTA CRUZ 668,750 PHOENIX</t>
  </si>
  <si>
    <t>CA SONOMA 448,750 PHOENIX</t>
  </si>
  <si>
    <t>CA VENTURA 546,250 PHOENIX</t>
  </si>
  <si>
    <t>CO BOULDER 443,750 DENVER</t>
  </si>
  <si>
    <t>CO EAGLE 712,500 DENVER</t>
  </si>
  <si>
    <t>CO PITKIN 1,094,625 DENVER</t>
  </si>
  <si>
    <t>CO ROUTT 550,000 DENVER</t>
  </si>
  <si>
    <t>CO SUMMIT 667,500 DENVER</t>
  </si>
  <si>
    <t>CT FAIRFIELD 612,500 CLEVELAND</t>
  </si>
  <si>
    <t>DC DISTRICT OF COL 843,750 ROANOKE</t>
  </si>
  <si>
    <t>GU GUAM 625,500 HONOLULU</t>
  </si>
  <si>
    <t>HI HAWAII 625,500 HONOLULU</t>
  </si>
  <si>
    <t>HI HONOLULU 750,000 HONOLULU</t>
  </si>
  <si>
    <t>HI KALAWAO 625,500 HONOLULU</t>
  </si>
  <si>
    <t>HI KAUAI 625,500 HONOLULU</t>
  </si>
  <si>
    <t>HI MAUI 625,500 HONOLULU</t>
  </si>
  <si>
    <t>ID TETON 635,000 DENVER</t>
  </si>
  <si>
    <t>MA DUKES 723,750 CLEVELAND</t>
  </si>
  <si>
    <t>MA ESSEX 500,000 CLEVELAND</t>
  </si>
  <si>
    <t>MA MIDDLESEX 500,000 CLEVELAND</t>
  </si>
  <si>
    <t>MA NANTUCKET 1,094,625 CLEVELAND</t>
  </si>
  <si>
    <t>MA NORFOLK 500,000 CLEVELAND</t>
  </si>
  <si>
    <t>MA PLYMOUTH 500,000 CLEVELAND</t>
  </si>
  <si>
    <t>MA SUFFOLK 500,000 CLEVELAND</t>
  </si>
  <si>
    <t>MD ANNE ARUNDEL 500,000 ROANOKE</t>
  </si>
  <si>
    <t>MD BALTIMORE 500,000 ROANOKE</t>
  </si>
  <si>
    <t>MD BALTIMORE CITY 500,000 ROANOKE</t>
  </si>
  <si>
    <t>MD CALVERT 843,750 ROANOKE</t>
  </si>
  <si>
    <t>MD CARROLL 500,000 ROANOKE</t>
  </si>
  <si>
    <t>MD CHARLES 843,750 ROANOKE</t>
  </si>
  <si>
    <t>MD FREDERICK 843,750 ROANOKE</t>
  </si>
  <si>
    <t>MD HARFORD 500,000 ROANOKE</t>
  </si>
  <si>
    <t>MD HOWARD 500,000 ROANOKE</t>
  </si>
  <si>
    <t>MD MONTGOMERY 843,750 ROANOKE</t>
  </si>
  <si>
    <t>MD PRINCE GEORGE'S 843,750 ROANOKE</t>
  </si>
  <si>
    <t>MD QUEEN ANNE'S 500,000 ROANOKE</t>
  </si>
  <si>
    <t>NH ROCKINGHAM 500,000 CLEVELAND</t>
  </si>
  <si>
    <t>NH STRAFFORD 500,000 CLEVELAND</t>
  </si>
  <si>
    <t>NJ BERGEN 722,500 CLEVELAND</t>
  </si>
  <si>
    <t>NJ ESSEX 722,500 CLEVELAND</t>
  </si>
  <si>
    <t>NJ HUDSON 722,500 CLEVELAND</t>
  </si>
  <si>
    <t>NJ HUNTERDON 722,500 CLEVELAND</t>
  </si>
  <si>
    <t>NJ MIDDLESEX 722,500 CLEVELAND</t>
  </si>
  <si>
    <t>NJ MONMOUTH 722,500 CLEVELAND</t>
  </si>
  <si>
    <t>NJ MORRIS 722,500 CLEVELAND</t>
  </si>
  <si>
    <t>NJ OCEAN 722,500 CLEVELAND</t>
  </si>
  <si>
    <t>NJ PASSAIC 722,500 CLEVELAND</t>
  </si>
  <si>
    <t>NJ SOMERSET 722,500 CLEVELAND</t>
  </si>
  <si>
    <t>NJ SUSSEX 722,500 CLEVELAND</t>
  </si>
  <si>
    <t>NJ UNION 722,500 CLEVELAND</t>
  </si>
  <si>
    <t>NY BRONX 722,500 CLEVELAND</t>
  </si>
  <si>
    <t>NY KINGS 722,500 CLEVELAND</t>
  </si>
  <si>
    <t>NY NASSAU 722,500 CLEVELAND</t>
  </si>
  <si>
    <t>NY NEW YORK 722,500 CLEVELAND</t>
  </si>
  <si>
    <t>NY PUTNAM 722,500 CLEVELAND</t>
  </si>
  <si>
    <t>NY QUEENS 722,500 CLEVELAND</t>
  </si>
  <si>
    <t>NY RICHMOND 722,500 CLEVELAND</t>
  </si>
  <si>
    <t>NY ROCKLAND 722,500 CLEVELAND</t>
  </si>
  <si>
    <t>NY SUFFOLK 722,500 CLEVELAND</t>
  </si>
  <si>
    <t>NY WESTCHESTER 722,500 CLEVELAND</t>
  </si>
  <si>
    <t>PA PIKE 722,500 CLEVELAND</t>
  </si>
  <si>
    <t>UT SUMMIT 650,000 DENVER</t>
  </si>
  <si>
    <t>VA ALEXANDRIA 843,750 ROANOKE</t>
  </si>
  <si>
    <t>VA ARLINGTON 843,750 ROANOKE</t>
  </si>
  <si>
    <t>VA CLARKE 843,750 ROANOKE</t>
  </si>
  <si>
    <t>VA FAIRFAX 843,750 ROANOKE</t>
  </si>
  <si>
    <t>VA FAIRFAX IND 843,750 ROANOKE</t>
  </si>
  <si>
    <t>VA FALLS CHURCH 843,750 ROANOKE</t>
  </si>
  <si>
    <t>VA FAUQUIER 843,750 ROANOKE</t>
  </si>
  <si>
    <t>VA FREDERICKSBURG 843,750 ROANOKE</t>
  </si>
  <si>
    <t>VA LOUDOUN 843,750 ROANOKE</t>
  </si>
  <si>
    <t>VA MANASSAS 843,750 ROANOKE</t>
  </si>
  <si>
    <t>VA MANASSAS PARK 843,750 ROANOKE</t>
  </si>
  <si>
    <t>VA PRINCE WILLIAM 843,750 ROANOKE</t>
  </si>
  <si>
    <t>VA SPOTSYLVANIA 843,750 ROANOKE</t>
  </si>
  <si>
    <t>VA STAFFORD 843,750 ROANOKE</t>
  </si>
  <si>
    <t>VA WARREN 843,750 ROANOKE</t>
  </si>
  <si>
    <t>VI ST. CROIX 625,500 ST. PETERSBURG</t>
  </si>
  <si>
    <t>VI ST. JOHN,VI 630,000 ST. PETERSBURG</t>
  </si>
  <si>
    <t>VI ST. THOMAS 625,500 ST. PETERSBURG</t>
  </si>
  <si>
    <t>WA KING 500,000 DENVER</t>
  </si>
  <si>
    <t>WA PIERCE 500,000 DENVER</t>
  </si>
  <si>
    <t>WA SAN JUAN 468,750 DENVER</t>
  </si>
  <si>
    <t>WA SNOHOMISH 500,000 DENVER</t>
  </si>
  <si>
    <t>WV JEFFERSON 843,750 ROANOKE</t>
  </si>
  <si>
    <t>WY TETON 635,000 DENVER</t>
  </si>
  <si>
    <t>State - County</t>
  </si>
  <si>
    <t>AK - ALEUTIANS EAST</t>
  </si>
  <si>
    <t>AK - ALEUTIANS WEST</t>
  </si>
  <si>
    <t>AK - NOME</t>
  </si>
  <si>
    <t>AK - YAKUTAT CITY</t>
  </si>
  <si>
    <t>CA - NAPA</t>
  </si>
  <si>
    <t>CA - SANTA CRUZ</t>
  </si>
  <si>
    <t>GU - GUAM</t>
  </si>
  <si>
    <t>HI - MAUI</t>
  </si>
  <si>
    <t>MD - BALTIMORE CITY</t>
  </si>
  <si>
    <t>NY - NEW YORK</t>
  </si>
  <si>
    <t>PA - PIKE</t>
  </si>
  <si>
    <t>VA - MANASSAS PARK</t>
  </si>
  <si>
    <t>WA - KING</t>
  </si>
  <si>
    <t>WA - SAN JUAN</t>
  </si>
  <si>
    <t>Index Lookup</t>
  </si>
  <si>
    <t>ALL OTHER COUNTIES</t>
  </si>
  <si>
    <t>AK - FAIRBANKS NORTH</t>
  </si>
  <si>
    <t>AK - KENAI PENINSULA</t>
  </si>
  <si>
    <t>AK - KODIAK ISLAND</t>
  </si>
  <si>
    <t>AK - NORTH SLOPE</t>
  </si>
  <si>
    <t>AK - SITKA</t>
  </si>
  <si>
    <t>AK - VALDEZ-CORDOVA</t>
  </si>
  <si>
    <t>AK - YUKON-KOYUKUK</t>
  </si>
  <si>
    <t>CA - CONTRA COSTA</t>
  </si>
  <si>
    <t>CA - MARIN</t>
  </si>
  <si>
    <t>CA - MONTEREY</t>
  </si>
  <si>
    <t>CA - ORANGE</t>
  </si>
  <si>
    <t>CA - SAN BENITO</t>
  </si>
  <si>
    <t>CA - SAN DIEGO</t>
  </si>
  <si>
    <t>CA - SAN FRANCISCO</t>
  </si>
  <si>
    <t>CA - SAN LUIS OBISPO</t>
  </si>
  <si>
    <t>CA - SAN MATEO</t>
  </si>
  <si>
    <t>CA - SANTA BARBARA</t>
  </si>
  <si>
    <t>CA - SANTA CLARA</t>
  </si>
  <si>
    <t>CA - SONOMA</t>
  </si>
  <si>
    <t>CA - VENTURA</t>
  </si>
  <si>
    <t>CO - BOULDER</t>
  </si>
  <si>
    <t>CO - EAGLE</t>
  </si>
  <si>
    <t>CO - PITKIN</t>
  </si>
  <si>
    <t>CO - ROUTT</t>
  </si>
  <si>
    <t>CO - SUMMIT</t>
  </si>
  <si>
    <t>CT - FAIRFIELD</t>
  </si>
  <si>
    <t>HI - HAWAII</t>
  </si>
  <si>
    <t>HI - HONOLULU</t>
  </si>
  <si>
    <t>HI - KALAWAO</t>
  </si>
  <si>
    <t>HI - KAUAI</t>
  </si>
  <si>
    <t>MA - DUKES</t>
  </si>
  <si>
    <t>MA - ESSEX</t>
  </si>
  <si>
    <t>MA - MIDDLESEX</t>
  </si>
  <si>
    <t>MA - NANTUCKET</t>
  </si>
  <si>
    <t>MA - NORFOLK</t>
  </si>
  <si>
    <t>MA - PLYMOUTH</t>
  </si>
  <si>
    <t>MA - SUFFOLK</t>
  </si>
  <si>
    <t>MD - ANNE ARUNDEL</t>
  </si>
  <si>
    <t>MD - BALTIMORE</t>
  </si>
  <si>
    <t>MD - CALVERT</t>
  </si>
  <si>
    <t>MD - CARROLL</t>
  </si>
  <si>
    <t>MD - CHARLES</t>
  </si>
  <si>
    <t>MD - FREDERICK</t>
  </si>
  <si>
    <t>MD - HARFORD</t>
  </si>
  <si>
    <t>MD - HOWARD</t>
  </si>
  <si>
    <t>MD - MONTGOMERY</t>
  </si>
  <si>
    <t>MD - PRINCE GEORGE'S</t>
  </si>
  <si>
    <t>MD - QUEEN ANNE'S</t>
  </si>
  <si>
    <t>NH - ROCKINGHAM</t>
  </si>
  <si>
    <t>NH - STRAFFORD</t>
  </si>
  <si>
    <t>NJ - BERGEN</t>
  </si>
  <si>
    <t>NJ - ESSEX</t>
  </si>
  <si>
    <t>NJ - HUDSON</t>
  </si>
  <si>
    <t>NJ - HUNTERDON</t>
  </si>
  <si>
    <t>NJ - MIDDLESEX</t>
  </si>
  <si>
    <t>NJ - MONMOUTH</t>
  </si>
  <si>
    <t>NJ - MORRIS</t>
  </si>
  <si>
    <t>NJ - OCEAN</t>
  </si>
  <si>
    <t>NJ - PASSAIC</t>
  </si>
  <si>
    <t>NJ - SOMERSET</t>
  </si>
  <si>
    <t>NJ - SUSSEX</t>
  </si>
  <si>
    <t>NJ - UNION</t>
  </si>
  <si>
    <t>NY - BRONX</t>
  </si>
  <si>
    <t>NY - KINGS</t>
  </si>
  <si>
    <t>NY - NASSAU</t>
  </si>
  <si>
    <t>NY - PUTNAM</t>
  </si>
  <si>
    <t>NY - QUEENS</t>
  </si>
  <si>
    <t>NY - RICHMOND</t>
  </si>
  <si>
    <t>NY - ROCKLAND</t>
  </si>
  <si>
    <t>NY - SUFFOLK</t>
  </si>
  <si>
    <t>NY - WESTCHESTER</t>
  </si>
  <si>
    <t>UT - SUMMIT</t>
  </si>
  <si>
    <t>VA - ARLINGTON</t>
  </si>
  <si>
    <t>VA - CLARKE</t>
  </si>
  <si>
    <t>VA - FAUQUIER</t>
  </si>
  <si>
    <t>VA - FREDERICKSBURG</t>
  </si>
  <si>
    <t>VA - LOUDOUN</t>
  </si>
  <si>
    <t>VA - PRINCE WILLIAM</t>
  </si>
  <si>
    <t>VA - SPOTSYLVANIA</t>
  </si>
  <si>
    <t>VA - STAFFORD</t>
  </si>
  <si>
    <t>VA - WARREN</t>
  </si>
  <si>
    <t>WA - PIERCE</t>
  </si>
  <si>
    <t>WV - JEFFERSON</t>
  </si>
  <si>
    <t>WY - TETON</t>
  </si>
  <si>
    <t>AK - BETHEL</t>
  </si>
  <si>
    <t>AK - DENALI</t>
  </si>
  <si>
    <t>AK - DILLINGHAM</t>
  </si>
  <si>
    <t>AK - HAINES</t>
  </si>
  <si>
    <t>AK - JUNEAU</t>
  </si>
  <si>
    <t>AK - PRINCE OF WALES</t>
  </si>
  <si>
    <t>%</t>
  </si>
  <si>
    <t>Loan Type</t>
  </si>
  <si>
    <t>Existing VA Loan Balance (Plus Cost of Energy Efficient Improvements)</t>
  </si>
  <si>
    <t>TOTAL</t>
  </si>
  <si>
    <t>Total From Line 3</t>
  </si>
  <si>
    <t>Add</t>
  </si>
  <si>
    <t>+</t>
  </si>
  <si>
    <t>Add Other Allowable Closing Costs and Prepaids</t>
  </si>
  <si>
    <t>SECTION I - INITIAL COMPUTATION</t>
  </si>
  <si>
    <t>Subtract Any Cash Payment From Veteran</t>
  </si>
  <si>
    <t>SECTION II - PRELIMINARY LOAN AMOUNT</t>
  </si>
  <si>
    <t>% Discount Based on Line 4</t>
  </si>
  <si>
    <t>SECTION III - FINAL COMPUTATION</t>
  </si>
  <si>
    <t>Total From Line 9</t>
  </si>
  <si>
    <t>SUBTOTAL</t>
  </si>
  <si>
    <t>Subtract Amount Shown on Line 5</t>
  </si>
  <si>
    <t>Subtract Amount Shown on Line 7</t>
  </si>
  <si>
    <t>TOTAL - MAXIMUM LOAN AMOUNT</t>
  </si>
  <si>
    <t>LINE NO.</t>
  </si>
  <si>
    <t>ITEM</t>
  </si>
  <si>
    <t>AMOUNT</t>
  </si>
  <si>
    <t>Name Of Lender</t>
  </si>
  <si>
    <t>Date</t>
  </si>
  <si>
    <t>Signature and Title of Officer of Lender</t>
  </si>
  <si>
    <t>NOTE: Submit this form when requesting guaranty on an Interest Rate Reduction Refinancing Loan.</t>
  </si>
  <si>
    <t>VA Loan Number</t>
  </si>
  <si>
    <t>PRIVACY ACT NOTICE: VA will not disclose information collected on this form to any source other than what has been authorized under the Privacy Act of 1974 or Title 38, Code of Federal Regulations 1.576 for routine uses (i.e., to a member of Congress inquiring on behalf of a veteran) as identified in the VA system of records, 55VA26, Loan Guaranty Home, Condominium and Manufactured Home Loan Applicant Records, Specially Adapted Housing Applicant Records, and Vendee Loan Applicant Records - VA, and published in the Federal Register. Your obligation to respond is voluntary; however, failure to complete the form could result in your making a loan in excess of the allowable amount.</t>
  </si>
  <si>
    <t>RESPONDENT BURDEN: This information is needed to help you determine the appropriate amount of the VA-guaranteed loan you intend to process. Title 38, United States Code, allows us to ask for this information. We estimate that you will need an average of 10 minutes to review the instructions, find the information, and complete this form. VA cannot conduct or sponsor a collection of information unless a valid OMB control number is displayed. You are not required to respond to a collection of information if this number is not displayed. Valid OMB control numbers can be located on the OMB Internet Page www.whitehouse.gov/omb/library/OMBINV.VA.EPA.html#VA. If desired, you can call 1-800-827-1000 to get information on where to send comments or suggestions about this form.</t>
  </si>
  <si>
    <t>VA FORM</t>
  </si>
  <si>
    <t>JUN 2009</t>
  </si>
  <si>
    <t>26-8923</t>
  </si>
  <si>
    <t>EXISTING STOCKS OF VA FORM 26-8923, SEP 2006,
WILL BE USED.</t>
  </si>
  <si>
    <t>NOTE: * Maximum loan amount may be rounded off, but must always be rounded down to avoid cash to the veteran. 
               Round-off amounts of less than $50 do not require recomputation.</t>
  </si>
  <si>
    <t>CA - EL DORADO</t>
  </si>
  <si>
    <t>CA - SACRAMENTO</t>
  </si>
  <si>
    <t>CA - PLACER</t>
  </si>
  <si>
    <t>CA - YOLO</t>
  </si>
  <si>
    <t>CO - ADAMS</t>
  </si>
  <si>
    <t>CO - ARAPAHOE</t>
  </si>
  <si>
    <t>CO - BROOMFIELD</t>
  </si>
  <si>
    <t>CO - CLEAR CREEK</t>
  </si>
  <si>
    <t>CO - DENVER</t>
  </si>
  <si>
    <t>CO - DOUGLAS</t>
  </si>
  <si>
    <t>CO - ELBERT</t>
  </si>
  <si>
    <t>CO - GARFIELD</t>
  </si>
  <si>
    <t>CO - GILPIN</t>
  </si>
  <si>
    <t>CO - JEFFERSON</t>
  </si>
  <si>
    <t>CO - PARK</t>
  </si>
  <si>
    <t>NY - DUTCHESS</t>
  </si>
  <si>
    <t>NY - ORANGE</t>
  </si>
  <si>
    <t>TN - CANNON</t>
  </si>
  <si>
    <t>TN - CHEATHAM</t>
  </si>
  <si>
    <t>TN - DAVIDSON</t>
  </si>
  <si>
    <t>TN - DICKSON</t>
  </si>
  <si>
    <t>TN - HICKMAN</t>
  </si>
  <si>
    <t>TN - MACON</t>
  </si>
  <si>
    <t>TN - MAURY</t>
  </si>
  <si>
    <t>TN - ROBERTSON</t>
  </si>
  <si>
    <t>TN - RUTHERFORD</t>
  </si>
  <si>
    <t>TN - SMITH</t>
  </si>
  <si>
    <t>TN - SUMNER</t>
  </si>
  <si>
    <t>TN - TROUSDALE</t>
  </si>
  <si>
    <t>TN - WILLIAMSON</t>
  </si>
  <si>
    <t>TN - WILSON</t>
  </si>
  <si>
    <t>VA - CULPEPER</t>
  </si>
  <si>
    <t>VA - RAPPAHANNOCK</t>
  </si>
  <si>
    <t>If A &gt; B, then</t>
  </si>
  <si>
    <t>Please Select County From Dropdown (Formatted as "State - County"):</t>
  </si>
  <si>
    <t>STANDARD</t>
  </si>
  <si>
    <t>SPECIALTY</t>
  </si>
  <si>
    <t>% Origination Fee Based on Line 4</t>
  </si>
  <si>
    <t>% Funding Fee Based on Line 4</t>
  </si>
  <si>
    <t>LOAN TYPE SELECTION</t>
  </si>
  <si>
    <t>CAIVRS Number</t>
  </si>
  <si>
    <t>% Funding Fee Based on Line 16 (Value from Line 7)</t>
  </si>
  <si>
    <t>% Discount Based on Line 10 (Value from Line 5)</t>
  </si>
  <si>
    <t>Check If Regular Military (uncheck if Reserves/National Guard)</t>
  </si>
  <si>
    <t>Check If First Time Use (uncheck if Subsequent Use)</t>
  </si>
  <si>
    <t>Exempt (leave unchecked if not exempt)</t>
  </si>
  <si>
    <t>CA - ALPINE</t>
  </si>
  <si>
    <t>CO - LAKE</t>
  </si>
  <si>
    <t>GA - GREENE</t>
  </si>
  <si>
    <t>ID - BLAINE</t>
  </si>
  <si>
    <t>ID - CAMAS</t>
  </si>
  <si>
    <t>ID - LINCOLN</t>
  </si>
  <si>
    <t>NC - CAMDEN</t>
  </si>
  <si>
    <t>NC - CURRITUCK</t>
  </si>
  <si>
    <t>NC - GATES</t>
  </si>
  <si>
    <t>NC - HYDE</t>
  </si>
  <si>
    <t>NC - PASQUOTANK</t>
  </si>
  <si>
    <t>NC - PERQUIMANS</t>
  </si>
  <si>
    <t>UT - SALT LAKE</t>
  </si>
  <si>
    <t>UT - TOOELE</t>
  </si>
  <si>
    <t>VA - AMELIA</t>
  </si>
  <si>
    <t>VA - CAROLINE</t>
  </si>
  <si>
    <t>VA - CHARLES CITY</t>
  </si>
  <si>
    <t>VA - COLONIAL HEIGHT</t>
  </si>
  <si>
    <t>VA - CUMBERLAND</t>
  </si>
  <si>
    <t>VA - DINWIDDIE</t>
  </si>
  <si>
    <t>VA - GLOUCESTER</t>
  </si>
  <si>
    <t>VA - GOOCHLAND</t>
  </si>
  <si>
    <t>VA - HANOVER</t>
  </si>
  <si>
    <t>VA - HENRICO</t>
  </si>
  <si>
    <t>VA - ISLE OF WIGHT</t>
  </si>
  <si>
    <t>VA - JAMES CITY</t>
  </si>
  <si>
    <t>VA - KING AND QUEEN</t>
  </si>
  <si>
    <t>VA - KING WILLIAM</t>
  </si>
  <si>
    <t>VA - LOUISA</t>
  </si>
  <si>
    <t>VA - MATHEWS</t>
  </si>
  <si>
    <t>VA - NEW KENT</t>
  </si>
  <si>
    <t>VA - NEWPORT NEWS</t>
  </si>
  <si>
    <t>VA - POWHATAN</t>
  </si>
  <si>
    <t>VA - PRINCE GEORGE</t>
  </si>
  <si>
    <t>VA - SURRY</t>
  </si>
  <si>
    <t>VA - SUSSEX</t>
  </si>
  <si>
    <t>VA - VIRGINIA BEACH</t>
  </si>
  <si>
    <t>VA - YORK</t>
  </si>
  <si>
    <t>AK - BRISTOL BAY</t>
  </si>
  <si>
    <t>CA - MONO</t>
  </si>
  <si>
    <t>CA - NEVADA</t>
  </si>
  <si>
    <t>CO - SAN MIGUEL</t>
  </si>
  <si>
    <t>MP - NORTHERN ISLAND</t>
  </si>
  <si>
    <t>MP - SAIPAN</t>
  </si>
  <si>
    <t>VA - CHESTERFIELD</t>
  </si>
  <si>
    <t>VA - HAMPTON</t>
  </si>
  <si>
    <t>VA - HOPEWELL</t>
  </si>
  <si>
    <t>VA - MANASSAS</t>
  </si>
  <si>
    <t>AK - ANCHORAGE</t>
  </si>
  <si>
    <t>MP - TINIAN</t>
  </si>
  <si>
    <t>VI - ST. CROIX</t>
  </si>
  <si>
    <t>VI - ST. JOHN,VI</t>
  </si>
  <si>
    <t>VI - ST. THOMAS</t>
  </si>
  <si>
    <t>AK - HOONAH-ANGOON C</t>
  </si>
  <si>
    <t>AK - KETCHIKAN GATEW</t>
  </si>
  <si>
    <t>AK - LAKE AND PENINS</t>
  </si>
  <si>
    <t>AK - MATANUSKA-SUSIT</t>
  </si>
  <si>
    <t>AK - NORTHWEST ARCTI</t>
  </si>
  <si>
    <t>AK - PETERSBURG CENS</t>
  </si>
  <si>
    <t>AK - SKAGWAY MUNICIP</t>
  </si>
  <si>
    <t>AK - SOUTHEAST FAIRB</t>
  </si>
  <si>
    <t>AK - WRANGELL CITY A</t>
  </si>
  <si>
    <t>CA - ALAMEDA</t>
  </si>
  <si>
    <t>CA - LOS ANGELES</t>
  </si>
  <si>
    <t>DC - DISTRICT OF COL</t>
  </si>
  <si>
    <t>FL - MONROE</t>
  </si>
  <si>
    <t>ID - TETON</t>
  </si>
  <si>
    <t>VA - FAIRFAX</t>
  </si>
  <si>
    <t>VA - ALEXANDRIA</t>
  </si>
  <si>
    <t>VA - CHESAPEAKE</t>
  </si>
  <si>
    <t>VA - FAIRFAX IND</t>
  </si>
  <si>
    <t>VA - FALLS CHURCH</t>
  </si>
  <si>
    <t>VA - NORFOLK</t>
  </si>
  <si>
    <t>VA - PETERSBURG</t>
  </si>
  <si>
    <t>VA - POQUOSON</t>
  </si>
  <si>
    <t>VA - PORTSMOUTH</t>
  </si>
  <si>
    <t>VA - RICHMOND IND</t>
  </si>
  <si>
    <t>VA - SUFFOLK</t>
  </si>
  <si>
    <t>VA - WILLIAMSBURG</t>
  </si>
  <si>
    <t>Veteran's Down Payment</t>
  </si>
  <si>
    <t>*</t>
  </si>
  <si>
    <t>Maximum Allowable Base Loan Amount:</t>
  </si>
  <si>
    <t>Total Note Loan Amount including Funding Fee</t>
  </si>
  <si>
    <t>AK - KUSILVAK CENSUS AREA</t>
  </si>
  <si>
    <t>CA - SOLANO</t>
  </si>
  <si>
    <t>Purchase Line R</t>
  </si>
  <si>
    <t>Exempt</t>
  </si>
  <si>
    <t>Reg First Time 0-4.99</t>
  </si>
  <si>
    <t>Reg First Time 5-9.99</t>
  </si>
  <si>
    <t>Reg First Time 10</t>
  </si>
  <si>
    <t>Resv First Time 0-4.99</t>
  </si>
  <si>
    <t>Resv First Time 5-9.99</t>
  </si>
  <si>
    <t>Resv First Time 10</t>
  </si>
  <si>
    <t>Reg SubUse 0-4.99</t>
  </si>
  <si>
    <t>Reg SubUse 5-9.99</t>
  </si>
  <si>
    <t>Reg SubUse 10</t>
  </si>
  <si>
    <t>Resv SubUse 0-4.99</t>
  </si>
  <si>
    <t>Resv SubUse 5-9.99</t>
  </si>
  <si>
    <t>Resv SubUse 10</t>
  </si>
  <si>
    <t xml:space="preserve">Required Guaranty </t>
  </si>
  <si>
    <t>2) Entitlement</t>
  </si>
  <si>
    <t>5</t>
  </si>
  <si>
    <t>Guaranty</t>
  </si>
  <si>
    <t>Down Payment Due from Entitlement Shortfall:</t>
  </si>
  <si>
    <t xml:space="preserve">Basic Entitlement </t>
  </si>
  <si>
    <t xml:space="preserve">Bonus Entitlement </t>
  </si>
  <si>
    <t>Available Entitlement based on the County Loan Limit</t>
  </si>
  <si>
    <t>Veteran's Available Entitlement for the New Loan</t>
  </si>
  <si>
    <t>C - N</t>
  </si>
  <si>
    <t>Bonus Entitlement</t>
  </si>
  <si>
    <t>Available Entitlment based on the County Loan Limit</t>
  </si>
  <si>
    <r>
      <t xml:space="preserve">Less:  Previously Used Entitlement </t>
    </r>
    <r>
      <rPr>
        <b/>
        <sz val="8"/>
        <rFont val="Arial"/>
        <family val="2"/>
      </rPr>
      <t>Not Restorable</t>
    </r>
  </si>
  <si>
    <t>8) Funding Fee Tables</t>
  </si>
  <si>
    <t>Guaranty Amount</t>
  </si>
  <si>
    <t xml:space="preserve">2018 County Loan Limits  </t>
  </si>
  <si>
    <t xml:space="preserve">Amount Down Payment in Excess of Required Down Payment: </t>
  </si>
  <si>
    <t>L - K</t>
  </si>
  <si>
    <t>I + J</t>
  </si>
  <si>
    <t>K + M</t>
  </si>
  <si>
    <t>O + P</t>
  </si>
  <si>
    <t>OR - HOOD RIVER</t>
  </si>
  <si>
    <t>WA - SNOHOMISH</t>
  </si>
  <si>
    <t>2018 VA Loan Limit</t>
  </si>
  <si>
    <t>If H &lt; R, then</t>
  </si>
  <si>
    <t>R - H</t>
  </si>
  <si>
    <t xml:space="preserve"> </t>
  </si>
  <si>
    <t>Standard Pricing</t>
  </si>
  <si>
    <t>Specialty Pricing</t>
  </si>
  <si>
    <t xml:space="preserve">       All Channels - 100% LTV</t>
  </si>
  <si>
    <t>Retail - 95% maximum LTV</t>
  </si>
  <si>
    <t>Wholesale and Correspondent - 90% maximum LTV</t>
  </si>
  <si>
    <t>1) Loan Details</t>
  </si>
  <si>
    <t>2) Available Entitlement</t>
  </si>
  <si>
    <t>E + F</t>
  </si>
  <si>
    <t>Veteran's Final Available Enttiltment</t>
  </si>
  <si>
    <t>G - H</t>
  </si>
  <si>
    <t>3) Maximum Loan Amount</t>
  </si>
  <si>
    <t>Loan Amount (Line B or C - Line J)</t>
  </si>
  <si>
    <t>= L(1)</t>
  </si>
  <si>
    <t>= L(2)</t>
  </si>
  <si>
    <t>Required Guaranty (Minimum 25%)</t>
  </si>
  <si>
    <t>Appraised Value / NOV</t>
  </si>
  <si>
    <t>L(1)</t>
  </si>
  <si>
    <t>L(2)</t>
  </si>
  <si>
    <t>4)</t>
  </si>
  <si>
    <t>check</t>
  </si>
  <si>
    <t>Final Loan Amount</t>
  </si>
  <si>
    <t>25% of 4O</t>
  </si>
  <si>
    <t>25% of 3K</t>
  </si>
  <si>
    <t>Entitlement Shortfall</t>
  </si>
  <si>
    <t>25% of (1B or 1C) - I if &gt; 0 else 0</t>
  </si>
  <si>
    <t>K + L(2)</t>
  </si>
  <si>
    <r>
      <rPr>
        <b/>
        <sz val="12"/>
        <color indexed="8"/>
        <rFont val="Arial"/>
        <family val="2"/>
      </rPr>
      <t>VA Loan Amount Calculator</t>
    </r>
    <r>
      <rPr>
        <b/>
        <sz val="12"/>
        <color indexed="12"/>
        <rFont val="Arial"/>
        <family val="2"/>
      </rPr>
      <t xml:space="preserve"> - </t>
    </r>
    <r>
      <rPr>
        <b/>
        <sz val="12"/>
        <color indexed="17"/>
        <rFont val="Arial"/>
        <family val="2"/>
      </rPr>
      <t>Cash-Out Refi</t>
    </r>
  </si>
  <si>
    <r>
      <rPr>
        <b/>
        <sz val="12"/>
        <color indexed="8"/>
        <rFont val="Arial"/>
        <family val="2"/>
      </rPr>
      <t>VA Loan Limit Calculator</t>
    </r>
    <r>
      <rPr>
        <b/>
        <sz val="12"/>
        <color indexed="12"/>
        <rFont val="Arial"/>
        <family val="2"/>
      </rPr>
      <t xml:space="preserve"> - </t>
    </r>
    <r>
      <rPr>
        <b/>
        <sz val="12"/>
        <color indexed="17"/>
        <rFont val="Arial"/>
        <family val="2"/>
      </rPr>
      <t>Purchases</t>
    </r>
  </si>
  <si>
    <r>
      <rPr>
        <b/>
        <sz val="12"/>
        <color indexed="8"/>
        <rFont val="Arial"/>
        <family val="2"/>
      </rPr>
      <t>VA Loan Limit Calculator -</t>
    </r>
    <r>
      <rPr>
        <b/>
        <sz val="12"/>
        <color indexed="12"/>
        <rFont val="Arial"/>
        <family val="2"/>
      </rPr>
      <t xml:space="preserve"> </t>
    </r>
    <r>
      <rPr>
        <b/>
        <sz val="12"/>
        <color indexed="17"/>
        <rFont val="Arial"/>
        <family val="2"/>
      </rPr>
      <t>Interest Rate Reduction Refinancing Loan Worksheet</t>
    </r>
  </si>
  <si>
    <t xml:space="preserve">                                                                       Hometown Equity Mortgage, dba theLender. NMLS 133519.
VA Loan Limits Calculator                                                               Page 1 of 2                                                                                                      10/2020
This document is limited to current  Hometown Equity Mortgage, dba theLender. NMLS 133519 and practice and should not be construed as legal advice, legal opinion, or any other advice on specific facts or circumstances.  Such policy and practice is subject to change.  The recipient should contact its legal counsel for legal advice.  For business and professional use only.  Not for consumer distribution. All loans subject to approval.  Certain conditions and fees apply.   Hometown Equity Mortgage, dba theLender. NMLS 133519.  Equal Housing Opportunity © theLender – All Rights Reserved.  
</t>
  </si>
  <si>
    <t xml:space="preserve">                                                                                Hometown Equity Mortgage, LLC, dba theLender. NMLS 133519                                                                                                                                                                                                                                                                                                                                                                                                                                                                                                                                            VA Loan Limits Calculator                                                                           Page 1                                                                                                 01/02/2019                                                                                                                                                Document is limited to current Hometown Equity Mortgage, LLC, DBA theLender and practice and should not be construed as legal advice, legal opinion, or any other advice on specific facts or circumstances. Such policy and practice is subject to change. The recipient should contact its legal counsel for legal advice.  For business and professional use only. Not for consumer distribution. All loans subject to approval. Certain conditions and fees apply.  Hometown Equity Mortgage, LLC, DBA theLender NMLS #133519.                                                                                                                                                                                                                                   Equal Housing Opportunity © theLender -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</si>
</sst>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_(&quot;$&quot;* #,##0_);_(&quot;$&quot;* \(#,##0\);_(&quot;$&quot;* &quot;-&quot;??_);_(@_)"/>
    <numFmt numFmtId="167" formatCode="[$$-409]#,##0.00_);\([$$-409]#,##0.00\)"/>
  </numFmts>
  <fonts count="28" x14ac:knownFonts="1">
    <font>
      <sz val="8"/>
      <name val="Arial"/>
    </font>
    <font>
      <sz val="8"/>
      <name val="Arial"/>
      <family val="2"/>
    </font>
    <font>
      <b/>
      <sz val="8"/>
      <name val="Arial"/>
      <family val="2"/>
    </font>
    <font>
      <sz val="8"/>
      <name val="Arial"/>
      <family val="2"/>
    </font>
    <font>
      <b/>
      <sz val="12"/>
      <color indexed="12"/>
      <name val="Arial"/>
      <family val="2"/>
    </font>
    <font>
      <b/>
      <sz val="8"/>
      <color indexed="10"/>
      <name val="Arial"/>
      <family val="2"/>
    </font>
    <font>
      <b/>
      <sz val="10"/>
      <name val="Arial"/>
      <family val="2"/>
    </font>
    <font>
      <u/>
      <sz val="8"/>
      <color indexed="12"/>
      <name val="Arial"/>
      <family val="2"/>
    </font>
    <font>
      <u/>
      <sz val="8"/>
      <color indexed="12"/>
      <name val="Arial"/>
      <family val="2"/>
    </font>
    <font>
      <b/>
      <sz val="12"/>
      <color indexed="17"/>
      <name val="Arial"/>
      <family val="2"/>
    </font>
    <font>
      <b/>
      <sz val="8"/>
      <color indexed="10"/>
      <name val="Arial"/>
      <family val="2"/>
    </font>
    <font>
      <sz val="8"/>
      <color indexed="10"/>
      <name val="Arial"/>
      <family val="2"/>
    </font>
    <font>
      <i/>
      <sz val="8"/>
      <name val="Arial"/>
      <family val="2"/>
    </font>
    <font>
      <sz val="8"/>
      <name val="Arial"/>
      <family val="2"/>
    </font>
    <font>
      <sz val="7"/>
      <name val="Arial"/>
      <family val="2"/>
    </font>
    <font>
      <sz val="10"/>
      <name val="Arial"/>
      <family val="2"/>
    </font>
    <font>
      <sz val="8"/>
      <name val="Arial"/>
      <family val="2"/>
    </font>
    <font>
      <b/>
      <sz val="10"/>
      <color indexed="10"/>
      <name val="Arial"/>
      <family val="2"/>
    </font>
    <font>
      <b/>
      <sz val="12"/>
      <color indexed="8"/>
      <name val="Arial"/>
      <family val="2"/>
    </font>
    <font>
      <sz val="8"/>
      <name val="Arial"/>
    </font>
    <font>
      <sz val="8"/>
      <color rgb="FFFF0000"/>
      <name val="Arial"/>
      <family val="2"/>
    </font>
    <font>
      <sz val="10"/>
      <color rgb="FF333333"/>
      <name val="Arial"/>
      <family val="2"/>
    </font>
    <font>
      <i/>
      <sz val="8"/>
      <color rgb="FFFF0000"/>
      <name val="Arial"/>
      <family val="2"/>
    </font>
    <font>
      <sz val="10"/>
      <color rgb="FFFF0000"/>
      <name val="Arial"/>
      <family val="2"/>
    </font>
    <font>
      <i/>
      <sz val="8"/>
      <color theme="1"/>
      <name val="Arial"/>
      <family val="2"/>
    </font>
    <font>
      <b/>
      <sz val="10"/>
      <color rgb="FFFF0000"/>
      <name val="Arial"/>
      <family val="2"/>
    </font>
    <font>
      <sz val="8"/>
      <color theme="0"/>
      <name val="Arial"/>
      <family val="2"/>
    </font>
    <font>
      <sz val="8"/>
      <color rgb="FF000000"/>
      <name val="Arial"/>
      <family val="2"/>
    </font>
  </fonts>
  <fills count="1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rgb="FF99CCFF"/>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42">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5">
    <xf numFmtId="0" fontId="0" fillId="0" borderId="0"/>
    <xf numFmtId="43" fontId="1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355">
    <xf numFmtId="0" fontId="0" fillId="0" borderId="0" xfId="0"/>
    <xf numFmtId="44" fontId="0" fillId="0" borderId="0" xfId="0" applyNumberFormat="1" applyBorder="1"/>
    <xf numFmtId="0" fontId="0" fillId="0" borderId="0" xfId="0" applyBorder="1"/>
    <xf numFmtId="0" fontId="0" fillId="0" borderId="0" xfId="0" applyAlignment="1">
      <alignment horizontal="center"/>
    </xf>
    <xf numFmtId="0" fontId="2" fillId="0" borderId="0" xfId="0" applyFont="1" applyFill="1" applyBorder="1"/>
    <xf numFmtId="0" fontId="0" fillId="0" borderId="0" xfId="0" applyFill="1" applyBorder="1"/>
    <xf numFmtId="0" fontId="0" fillId="0" borderId="1" xfId="0" applyBorder="1"/>
    <xf numFmtId="0" fontId="3" fillId="0" borderId="1" xfId="0" applyFont="1" applyFill="1" applyBorder="1"/>
    <xf numFmtId="0" fontId="0" fillId="0" borderId="0" xfId="0" applyBorder="1" applyAlignment="1">
      <alignment horizontal="center"/>
    </xf>
    <xf numFmtId="0" fontId="0" fillId="0" borderId="0" xfId="0" quotePrefix="1" applyBorder="1" applyAlignment="1">
      <alignment horizontal="center"/>
    </xf>
    <xf numFmtId="0" fontId="0" fillId="0" borderId="0" xfId="0" applyFill="1" applyBorder="1" applyAlignment="1">
      <alignment horizontal="center"/>
    </xf>
    <xf numFmtId="0" fontId="0" fillId="0" borderId="0" xfId="0" applyBorder="1" applyAlignment="1">
      <alignment horizontal="left"/>
    </xf>
    <xf numFmtId="0" fontId="3" fillId="0" borderId="0" xfId="0" applyFont="1" applyFill="1" applyBorder="1"/>
    <xf numFmtId="49" fontId="0" fillId="0" borderId="0" xfId="0" applyNumberFormat="1" applyAlignment="1">
      <alignment horizontal="center"/>
    </xf>
    <xf numFmtId="49" fontId="0" fillId="0" borderId="2" xfId="0" applyNumberFormat="1" applyBorder="1" applyAlignment="1">
      <alignment horizontal="center"/>
    </xf>
    <xf numFmtId="0" fontId="3" fillId="0" borderId="3" xfId="0" applyFont="1" applyFill="1" applyBorder="1" applyAlignment="1">
      <alignment horizontal="left"/>
    </xf>
    <xf numFmtId="49" fontId="0" fillId="0" borderId="0" xfId="0" applyNumberFormat="1" applyBorder="1" applyAlignment="1">
      <alignment horizontal="center"/>
    </xf>
    <xf numFmtId="49" fontId="2" fillId="0" borderId="4" xfId="0" applyNumberFormat="1" applyFont="1" applyBorder="1" applyAlignment="1">
      <alignment horizontal="center"/>
    </xf>
    <xf numFmtId="0" fontId="2" fillId="0" borderId="3" xfId="0" applyFont="1" applyBorder="1"/>
    <xf numFmtId="49" fontId="0" fillId="0" borderId="5" xfId="0" applyNumberFormat="1" applyBorder="1" applyAlignment="1">
      <alignment horizontal="center"/>
    </xf>
    <xf numFmtId="0" fontId="0" fillId="0" borderId="6" xfId="0" applyBorder="1"/>
    <xf numFmtId="0" fontId="3" fillId="0" borderId="7" xfId="0" quotePrefix="1" applyFont="1" applyBorder="1" applyAlignment="1">
      <alignment horizontal="center"/>
    </xf>
    <xf numFmtId="49" fontId="0" fillId="0" borderId="1" xfId="0" applyNumberFormat="1" applyFill="1" applyBorder="1" applyAlignment="1">
      <alignment horizontal="center"/>
    </xf>
    <xf numFmtId="49" fontId="0" fillId="0" borderId="8" xfId="0" applyNumberFormat="1" applyFill="1" applyBorder="1" applyAlignment="1">
      <alignment horizontal="center"/>
    </xf>
    <xf numFmtId="0" fontId="0" fillId="0" borderId="3" xfId="0" applyFill="1" applyBorder="1"/>
    <xf numFmtId="0" fontId="0" fillId="0" borderId="3" xfId="0" applyFill="1" applyBorder="1" applyAlignment="1">
      <alignment horizontal="center"/>
    </xf>
    <xf numFmtId="44" fontId="0" fillId="0" borderId="0" xfId="0" applyNumberFormat="1"/>
    <xf numFmtId="0" fontId="3" fillId="0" borderId="0" xfId="0" applyFont="1" applyFill="1" applyBorder="1" applyAlignment="1">
      <alignment horizontal="left" indent="1"/>
    </xf>
    <xf numFmtId="0" fontId="1" fillId="0" borderId="0" xfId="0" applyFont="1" applyBorder="1" applyAlignment="1">
      <alignment horizontal="left"/>
    </xf>
    <xf numFmtId="0" fontId="1" fillId="0" borderId="0" xfId="0" applyFont="1"/>
    <xf numFmtId="0" fontId="1" fillId="0" borderId="0" xfId="0" applyFont="1" applyAlignment="1">
      <alignment horizontal="center"/>
    </xf>
    <xf numFmtId="0" fontId="1" fillId="0" borderId="0" xfId="0" applyFont="1" applyBorder="1" applyAlignment="1">
      <alignment horizontal="center"/>
    </xf>
    <xf numFmtId="165" fontId="11" fillId="0" borderId="0" xfId="0" applyNumberFormat="1" applyFont="1" applyAlignment="1">
      <alignment horizontal="center"/>
    </xf>
    <xf numFmtId="7" fontId="10" fillId="0" borderId="3" xfId="0" applyNumberFormat="1" applyFont="1" applyBorder="1" applyAlignment="1">
      <alignment horizontal="center" vertical="center"/>
    </xf>
    <xf numFmtId="7" fontId="10" fillId="0" borderId="6" xfId="0" applyNumberFormat="1" applyFont="1" applyBorder="1" applyAlignment="1">
      <alignment horizontal="right"/>
    </xf>
    <xf numFmtId="0" fontId="6" fillId="2" borderId="9" xfId="0" applyFont="1" applyFill="1" applyBorder="1" applyAlignment="1">
      <alignment horizontal="left"/>
    </xf>
    <xf numFmtId="0" fontId="0" fillId="0" borderId="0" xfId="0" applyProtection="1">
      <protection locked="0"/>
    </xf>
    <xf numFmtId="0" fontId="0" fillId="0" borderId="0" xfId="0" applyBorder="1" applyProtection="1"/>
    <xf numFmtId="0" fontId="1" fillId="0" borderId="0" xfId="0" quotePrefix="1" applyFont="1" applyFill="1" applyBorder="1" applyAlignment="1"/>
    <xf numFmtId="0" fontId="3" fillId="0" borderId="3" xfId="0" applyFont="1" applyFill="1" applyBorder="1" applyAlignment="1" applyProtection="1">
      <alignment horizontal="left"/>
    </xf>
    <xf numFmtId="44" fontId="0" fillId="0" borderId="5" xfId="0" applyNumberFormat="1" applyBorder="1" applyProtection="1">
      <protection hidden="1"/>
    </xf>
    <xf numFmtId="44" fontId="3" fillId="3" borderId="5" xfId="0" applyNumberFormat="1" applyFont="1" applyFill="1" applyBorder="1" applyProtection="1">
      <protection hidden="1"/>
    </xf>
    <xf numFmtId="44" fontId="3" fillId="0" borderId="5" xfId="0" applyNumberFormat="1" applyFont="1" applyFill="1" applyBorder="1" applyProtection="1">
      <protection hidden="1"/>
    </xf>
    <xf numFmtId="44" fontId="0" fillId="0" borderId="5" xfId="0" applyNumberFormat="1" applyFill="1" applyBorder="1" applyProtection="1">
      <protection hidden="1"/>
    </xf>
    <xf numFmtId="44" fontId="2" fillId="0" borderId="5" xfId="0" applyNumberFormat="1" applyFont="1" applyFill="1" applyBorder="1" applyProtection="1">
      <protection hidden="1"/>
    </xf>
    <xf numFmtId="0" fontId="0" fillId="0" borderId="0" xfId="0" applyProtection="1">
      <protection hidden="1"/>
    </xf>
    <xf numFmtId="44" fontId="0" fillId="0" borderId="0" xfId="0" applyNumberFormat="1" applyBorder="1" applyProtection="1">
      <protection hidden="1"/>
    </xf>
    <xf numFmtId="44" fontId="0" fillId="0" borderId="10" xfId="0" applyNumberFormat="1" applyBorder="1" applyProtection="1">
      <protection hidden="1"/>
    </xf>
    <xf numFmtId="44" fontId="2" fillId="0" borderId="11" xfId="0" applyNumberFormat="1" applyFont="1" applyFill="1" applyBorder="1" applyProtection="1">
      <protection hidden="1"/>
    </xf>
    <xf numFmtId="44" fontId="2" fillId="0" borderId="11" xfId="0" applyNumberFormat="1" applyFont="1" applyBorder="1" applyProtection="1">
      <protection hidden="1"/>
    </xf>
    <xf numFmtId="0" fontId="0" fillId="0" borderId="12" xfId="0" applyFill="1" applyBorder="1" applyProtection="1">
      <protection hidden="1"/>
    </xf>
    <xf numFmtId="0" fontId="0" fillId="0" borderId="13" xfId="0" applyFill="1" applyBorder="1" applyProtection="1">
      <protection hidden="1"/>
    </xf>
    <xf numFmtId="0" fontId="0" fillId="0" borderId="0" xfId="0" applyFill="1" applyBorder="1" applyAlignment="1" applyProtection="1">
      <alignment vertical="center"/>
      <protection hidden="1"/>
    </xf>
    <xf numFmtId="0" fontId="2" fillId="0" borderId="0" xfId="0" applyFont="1" applyFill="1" applyBorder="1" applyProtection="1">
      <protection hidden="1"/>
    </xf>
    <xf numFmtId="0" fontId="0" fillId="0" borderId="0" xfId="0" applyBorder="1" applyProtection="1">
      <protection hidden="1"/>
    </xf>
    <xf numFmtId="0" fontId="0" fillId="0" borderId="0" xfId="0" applyFill="1" applyBorder="1" applyProtection="1">
      <protection hidden="1"/>
    </xf>
    <xf numFmtId="0" fontId="0" fillId="0" borderId="0" xfId="0" applyFill="1" applyProtection="1">
      <protection hidden="1"/>
    </xf>
    <xf numFmtId="10" fontId="0" fillId="4" borderId="0" xfId="0" applyNumberFormat="1" applyFill="1" applyBorder="1" applyProtection="1">
      <protection hidden="1"/>
    </xf>
    <xf numFmtId="44" fontId="0" fillId="0" borderId="0" xfId="0" applyNumberFormat="1" applyFill="1" applyBorder="1" applyProtection="1">
      <protection hidden="1"/>
    </xf>
    <xf numFmtId="10" fontId="0" fillId="5" borderId="0" xfId="0" applyNumberFormat="1" applyFill="1" applyBorder="1" applyProtection="1">
      <protection hidden="1"/>
    </xf>
    <xf numFmtId="10" fontId="0" fillId="0" borderId="0" xfId="0" applyNumberFormat="1" applyBorder="1" applyProtection="1">
      <protection hidden="1"/>
    </xf>
    <xf numFmtId="165" fontId="0" fillId="0" borderId="0" xfId="0" applyNumberFormat="1" applyProtection="1">
      <protection hidden="1"/>
    </xf>
    <xf numFmtId="49" fontId="0" fillId="0" borderId="2" xfId="0" applyNumberFormat="1" applyBorder="1" applyAlignment="1" applyProtection="1">
      <alignment horizontal="center"/>
      <protection hidden="1"/>
    </xf>
    <xf numFmtId="0" fontId="0" fillId="0" borderId="1" xfId="0" applyBorder="1" applyProtection="1">
      <protection hidden="1"/>
    </xf>
    <xf numFmtId="0" fontId="0" fillId="0" borderId="0" xfId="0" applyBorder="1" applyAlignment="1" applyProtection="1">
      <alignment horizontal="center"/>
      <protection hidden="1"/>
    </xf>
    <xf numFmtId="44" fontId="0" fillId="6" borderId="5" xfId="2" applyFont="1" applyFill="1" applyBorder="1" applyProtection="1">
      <protection locked="0" hidden="1"/>
    </xf>
    <xf numFmtId="0" fontId="0" fillId="0" borderId="1" xfId="0" applyBorder="1" applyAlignment="1" applyProtection="1">
      <alignment horizontal="left"/>
      <protection hidden="1"/>
    </xf>
    <xf numFmtId="0" fontId="0" fillId="0" borderId="0" xfId="0" applyBorder="1" applyAlignment="1" applyProtection="1">
      <alignment horizontal="left"/>
      <protection hidden="1"/>
    </xf>
    <xf numFmtId="0" fontId="0" fillId="0" borderId="0" xfId="0" quotePrefix="1" applyBorder="1" applyAlignment="1" applyProtection="1">
      <alignment horizontal="center"/>
      <protection hidden="1"/>
    </xf>
    <xf numFmtId="0" fontId="0" fillId="0" borderId="0" xfId="0" applyFill="1" applyBorder="1" applyAlignment="1" applyProtection="1">
      <alignment horizontal="center"/>
      <protection hidden="1"/>
    </xf>
    <xf numFmtId="0" fontId="2" fillId="0" borderId="0" xfId="0" applyFont="1" applyAlignment="1" applyProtection="1">
      <alignment horizontal="center"/>
      <protection hidden="1"/>
    </xf>
    <xf numFmtId="0" fontId="0" fillId="0" borderId="6" xfId="0" applyBorder="1" applyProtection="1">
      <protection hidden="1"/>
    </xf>
    <xf numFmtId="0" fontId="1" fillId="0" borderId="0" xfId="0" applyFont="1" applyProtection="1">
      <protection hidden="1"/>
    </xf>
    <xf numFmtId="49" fontId="1" fillId="0" borderId="2" xfId="0" applyNumberFormat="1" applyFont="1" applyBorder="1" applyAlignment="1" applyProtection="1">
      <alignment horizontal="center"/>
      <protection hidden="1"/>
    </xf>
    <xf numFmtId="44" fontId="0" fillId="0" borderId="5" xfId="2" applyFont="1" applyFill="1" applyBorder="1" applyProtection="1">
      <protection hidden="1"/>
    </xf>
    <xf numFmtId="0" fontId="3" fillId="0" borderId="1" xfId="0" applyFont="1" applyFill="1" applyBorder="1" applyProtection="1">
      <protection hidden="1"/>
    </xf>
    <xf numFmtId="0" fontId="3" fillId="0" borderId="0" xfId="0" applyFont="1" applyFill="1" applyBorder="1" applyProtection="1">
      <protection hidden="1"/>
    </xf>
    <xf numFmtId="0" fontId="1" fillId="0" borderId="1" xfId="0" applyFont="1" applyFill="1" applyBorder="1" applyProtection="1">
      <protection hidden="1"/>
    </xf>
    <xf numFmtId="0" fontId="1" fillId="0" borderId="0" xfId="0" applyFont="1" applyBorder="1" applyAlignment="1" applyProtection="1">
      <alignment horizontal="center"/>
      <protection hidden="1"/>
    </xf>
    <xf numFmtId="0" fontId="5" fillId="0" borderId="0" xfId="0" applyFont="1" applyBorder="1" applyProtection="1">
      <protection hidden="1"/>
    </xf>
    <xf numFmtId="10" fontId="0" fillId="0" borderId="0" xfId="4" applyNumberFormat="1" applyFont="1" applyFill="1" applyBorder="1" applyProtection="1">
      <protection hidden="1"/>
    </xf>
    <xf numFmtId="0" fontId="1" fillId="0" borderId="0" xfId="0" quotePrefix="1" applyFont="1" applyFill="1" applyBorder="1" applyAlignment="1" applyProtection="1">
      <alignment horizontal="left"/>
      <protection hidden="1"/>
    </xf>
    <xf numFmtId="44" fontId="0" fillId="0" borderId="0" xfId="0" applyNumberFormat="1" applyBorder="1" applyAlignment="1" applyProtection="1">
      <alignment horizontal="right"/>
      <protection hidden="1"/>
    </xf>
    <xf numFmtId="44" fontId="1" fillId="0" borderId="0" xfId="0" applyNumberFormat="1" applyFont="1" applyBorder="1" applyAlignment="1" applyProtection="1">
      <alignment horizontal="left"/>
      <protection hidden="1"/>
    </xf>
    <xf numFmtId="44" fontId="1" fillId="0" borderId="12" xfId="0" quotePrefix="1" applyNumberFormat="1" applyFont="1" applyBorder="1" applyAlignment="1" applyProtection="1">
      <alignment horizontal="center"/>
      <protection hidden="1"/>
    </xf>
    <xf numFmtId="0" fontId="5" fillId="0" borderId="0" xfId="0" applyFont="1" applyFill="1" applyAlignment="1" applyProtection="1">
      <alignment horizontal="left"/>
      <protection hidden="1"/>
    </xf>
    <xf numFmtId="49" fontId="1" fillId="0" borderId="4" xfId="0" applyNumberFormat="1" applyFont="1" applyBorder="1" applyAlignment="1" applyProtection="1">
      <alignment horizontal="center"/>
      <protection hidden="1"/>
    </xf>
    <xf numFmtId="0" fontId="5" fillId="0" borderId="3" xfId="0" applyFont="1" applyBorder="1" applyProtection="1">
      <protection hidden="1"/>
    </xf>
    <xf numFmtId="0" fontId="3" fillId="0" borderId="7" xfId="0" quotePrefix="1" applyFont="1" applyBorder="1" applyAlignment="1" applyProtection="1">
      <alignment horizontal="center"/>
      <protection hidden="1"/>
    </xf>
    <xf numFmtId="49"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49" fontId="2" fillId="0" borderId="4" xfId="0" applyNumberFormat="1" applyFont="1" applyBorder="1" applyAlignment="1" applyProtection="1">
      <alignment horizontal="center"/>
      <protection hidden="1"/>
    </xf>
    <xf numFmtId="0" fontId="2" fillId="0" borderId="3" xfId="0" applyFont="1" applyBorder="1" applyProtection="1">
      <protection hidden="1"/>
    </xf>
    <xf numFmtId="49" fontId="0" fillId="0" borderId="5" xfId="0" applyNumberFormat="1" applyBorder="1" applyAlignment="1" applyProtection="1">
      <alignment horizontal="center"/>
      <protection hidden="1"/>
    </xf>
    <xf numFmtId="0" fontId="0" fillId="0" borderId="14" xfId="0" applyBorder="1" applyAlignment="1" applyProtection="1">
      <alignment horizontal="center"/>
      <protection hidden="1"/>
    </xf>
    <xf numFmtId="0" fontId="6" fillId="2" borderId="9" xfId="0" applyFont="1" applyFill="1" applyBorder="1" applyAlignment="1" applyProtection="1">
      <alignment horizontal="left"/>
      <protection hidden="1"/>
    </xf>
    <xf numFmtId="49" fontId="0" fillId="0" borderId="1" xfId="0" applyNumberFormat="1" applyFill="1" applyBorder="1" applyAlignment="1" applyProtection="1">
      <alignment horizontal="center"/>
      <protection hidden="1"/>
    </xf>
    <xf numFmtId="0" fontId="3" fillId="0" borderId="0" xfId="0" applyFont="1" applyFill="1" applyBorder="1" applyAlignment="1" applyProtection="1">
      <alignment horizontal="left" indent="1"/>
      <protection hidden="1"/>
    </xf>
    <xf numFmtId="49" fontId="0" fillId="0" borderId="8" xfId="0" applyNumberFormat="1" applyFill="1" applyBorder="1" applyAlignment="1" applyProtection="1">
      <alignment horizontal="center"/>
      <protection hidden="1"/>
    </xf>
    <xf numFmtId="0" fontId="0" fillId="0" borderId="3" xfId="0" applyFill="1" applyBorder="1" applyProtection="1">
      <protection hidden="1"/>
    </xf>
    <xf numFmtId="0" fontId="0" fillId="0" borderId="3" xfId="0" applyFill="1" applyBorder="1" applyAlignment="1" applyProtection="1">
      <alignment horizontal="center"/>
      <protection hidden="1"/>
    </xf>
    <xf numFmtId="7" fontId="10" fillId="0" borderId="0" xfId="0" applyNumberFormat="1" applyFont="1" applyBorder="1" applyAlignment="1">
      <alignment horizontal="right"/>
    </xf>
    <xf numFmtId="0" fontId="20" fillId="0" borderId="0" xfId="0" applyFont="1"/>
    <xf numFmtId="0" fontId="2" fillId="0" borderId="0" xfId="0" applyFont="1" applyFill="1" applyBorder="1" applyAlignment="1">
      <alignment horizontal="left" indent="1"/>
    </xf>
    <xf numFmtId="0" fontId="0" fillId="0" borderId="3" xfId="0" applyBorder="1"/>
    <xf numFmtId="44" fontId="10" fillId="0" borderId="9" xfId="0" applyNumberFormat="1" applyFont="1" applyFill="1" applyBorder="1" applyAlignment="1">
      <alignment horizontal="right"/>
    </xf>
    <xf numFmtId="165" fontId="5" fillId="0" borderId="0" xfId="0" applyNumberFormat="1" applyFont="1" applyBorder="1" applyAlignment="1">
      <alignment horizontal="right"/>
    </xf>
    <xf numFmtId="0" fontId="14" fillId="0" borderId="15" xfId="0" applyFont="1" applyBorder="1" applyAlignment="1" applyProtection="1">
      <alignment horizontal="left" wrapText="1"/>
      <protection hidden="1"/>
    </xf>
    <xf numFmtId="0" fontId="14" fillId="0" borderId="0" xfId="0" applyFont="1" applyBorder="1" applyAlignment="1" applyProtection="1">
      <alignment horizontal="left" wrapText="1"/>
      <protection hidden="1"/>
    </xf>
    <xf numFmtId="0" fontId="14" fillId="0" borderId="16" xfId="0" applyFont="1" applyBorder="1" applyAlignment="1" applyProtection="1">
      <alignment horizontal="left" wrapText="1"/>
      <protection hidden="1"/>
    </xf>
    <xf numFmtId="0" fontId="0" fillId="0" borderId="9" xfId="0" applyBorder="1" applyProtection="1">
      <protection hidden="1"/>
    </xf>
    <xf numFmtId="0" fontId="1" fillId="0" borderId="17" xfId="0" applyFont="1" applyBorder="1" applyAlignment="1" applyProtection="1">
      <alignment horizontal="center"/>
      <protection hidden="1"/>
    </xf>
    <xf numFmtId="0" fontId="0" fillId="0" borderId="18" xfId="0" applyBorder="1" applyAlignment="1" applyProtection="1">
      <alignment horizontal="center"/>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protection hidden="1"/>
    </xf>
    <xf numFmtId="0" fontId="1" fillId="0" borderId="0" xfId="0" applyFont="1" applyFill="1" applyBorder="1" applyAlignment="1" applyProtection="1">
      <alignment vertical="center"/>
      <protection hidden="1"/>
    </xf>
    <xf numFmtId="0" fontId="0" fillId="0" borderId="19" xfId="0" applyFill="1" applyBorder="1" applyAlignment="1" applyProtection="1">
      <alignment horizontal="center"/>
      <protection hidden="1"/>
    </xf>
    <xf numFmtId="0" fontId="1" fillId="0" borderId="9" xfId="0" applyFont="1" applyFill="1" applyBorder="1" applyAlignment="1" applyProtection="1">
      <alignment vertical="center"/>
      <protection hidden="1"/>
    </xf>
    <xf numFmtId="0" fontId="0" fillId="0" borderId="9" xfId="0" applyBorder="1" applyAlignment="1" applyProtection="1">
      <alignment vertical="center"/>
      <protection hidden="1"/>
    </xf>
    <xf numFmtId="0" fontId="0" fillId="0" borderId="18" xfId="0" applyFill="1" applyBorder="1" applyAlignment="1" applyProtection="1">
      <alignment horizontal="center"/>
      <protection hidden="1"/>
    </xf>
    <xf numFmtId="0" fontId="2"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Fill="1" applyBorder="1" applyAlignment="1" applyProtection="1">
      <alignment horizontal="center"/>
      <protection hidden="1"/>
    </xf>
    <xf numFmtId="0" fontId="0" fillId="0" borderId="20" xfId="0" applyFill="1" applyBorder="1" applyAlignment="1" applyProtection="1">
      <alignment horizontal="center"/>
      <protection hidden="1"/>
    </xf>
    <xf numFmtId="0" fontId="2" fillId="0" borderId="3" xfId="0" applyFont="1" applyFill="1" applyBorder="1" applyAlignment="1" applyProtection="1">
      <alignment vertical="center"/>
      <protection hidden="1"/>
    </xf>
    <xf numFmtId="0" fontId="0" fillId="0" borderId="3" xfId="0" applyBorder="1" applyProtection="1">
      <protection hidden="1"/>
    </xf>
    <xf numFmtId="0" fontId="0" fillId="0" borderId="3" xfId="0" applyBorder="1" applyAlignment="1" applyProtection="1">
      <alignment vertical="center"/>
      <protection hidden="1"/>
    </xf>
    <xf numFmtId="0" fontId="2" fillId="0" borderId="3" xfId="0" applyFont="1" applyBorder="1" applyAlignment="1" applyProtection="1">
      <alignment horizontal="center"/>
      <protection hidden="1"/>
    </xf>
    <xf numFmtId="44" fontId="0" fillId="0" borderId="0" xfId="0" applyNumberFormat="1" applyProtection="1">
      <protection hidden="1"/>
    </xf>
    <xf numFmtId="0" fontId="1" fillId="0" borderId="0" xfId="0" quotePrefix="1" applyFont="1" applyProtection="1">
      <protection hidden="1"/>
    </xf>
    <xf numFmtId="0" fontId="0" fillId="0" borderId="0" xfId="0" applyAlignment="1" applyProtection="1">
      <protection hidden="1"/>
    </xf>
    <xf numFmtId="0" fontId="1" fillId="0" borderId="15"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1" xfId="0" applyFont="1" applyBorder="1" applyProtection="1">
      <protection hidden="1"/>
    </xf>
    <xf numFmtId="0" fontId="1" fillId="0" borderId="7" xfId="0" quotePrefix="1" applyFont="1" applyBorder="1" applyAlignment="1" applyProtection="1">
      <alignment horizontal="center"/>
      <protection hidden="1"/>
    </xf>
    <xf numFmtId="0" fontId="1" fillId="0" borderId="14" xfId="0" applyFont="1" applyBorder="1" applyAlignment="1">
      <alignment horizontal="center"/>
    </xf>
    <xf numFmtId="0" fontId="15" fillId="0" borderId="0" xfId="0" applyFont="1"/>
    <xf numFmtId="0" fontId="6" fillId="0" borderId="0" xfId="0" applyFont="1"/>
    <xf numFmtId="3" fontId="21" fillId="0" borderId="0" xfId="0" applyNumberFormat="1" applyFont="1"/>
    <xf numFmtId="0" fontId="21" fillId="0" borderId="0" xfId="0" applyFont="1"/>
    <xf numFmtId="0" fontId="1" fillId="0" borderId="1" xfId="0" applyFont="1" applyBorder="1" applyAlignment="1" applyProtection="1">
      <alignment horizontal="left" vertical="center"/>
    </xf>
    <xf numFmtId="0" fontId="0" fillId="0" borderId="12" xfId="0" applyBorder="1" applyProtection="1">
      <protection hidden="1"/>
    </xf>
    <xf numFmtId="0" fontId="12" fillId="0" borderId="0" xfId="0" applyFont="1" applyBorder="1" applyAlignment="1" applyProtection="1">
      <alignment horizontal="left" vertical="center" indent="1"/>
      <protection hidden="1"/>
    </xf>
    <xf numFmtId="0" fontId="22" fillId="0" borderId="1" xfId="0" applyFont="1" applyBorder="1" applyAlignment="1" applyProtection="1">
      <alignment horizontal="left" vertical="center"/>
      <protection hidden="1"/>
    </xf>
    <xf numFmtId="0" fontId="8" fillId="0" borderId="0" xfId="3" applyFont="1" applyBorder="1" applyAlignment="1" applyProtection="1">
      <alignment horizontal="center"/>
      <protection hidden="1"/>
    </xf>
    <xf numFmtId="0" fontId="23" fillId="0" borderId="0" xfId="0" applyFont="1"/>
    <xf numFmtId="2" fontId="0" fillId="0" borderId="3" xfId="0" applyNumberFormat="1" applyFill="1" applyBorder="1" applyAlignment="1" applyProtection="1">
      <alignment horizontal="center"/>
      <protection hidden="1"/>
    </xf>
    <xf numFmtId="44" fontId="1" fillId="0" borderId="0" xfId="0" quotePrefix="1" applyNumberFormat="1" applyFont="1" applyBorder="1" applyAlignment="1" applyProtection="1">
      <alignment horizontal="center"/>
      <protection hidden="1"/>
    </xf>
    <xf numFmtId="2" fontId="0" fillId="0" borderId="0" xfId="4" applyNumberFormat="1" applyFont="1" applyFill="1" applyBorder="1" applyAlignment="1" applyProtection="1">
      <alignment horizontal="right" wrapText="1"/>
      <protection hidden="1"/>
    </xf>
    <xf numFmtId="10" fontId="1" fillId="0" borderId="0" xfId="0" applyNumberFormat="1" applyFont="1" applyFill="1" applyBorder="1" applyAlignment="1" applyProtection="1">
      <alignment horizontal="right"/>
      <protection hidden="1"/>
    </xf>
    <xf numFmtId="10" fontId="0" fillId="0" borderId="0" xfId="0" applyNumberFormat="1" applyFill="1" applyBorder="1" applyProtection="1">
      <protection hidden="1"/>
    </xf>
    <xf numFmtId="0" fontId="0" fillId="0" borderId="21" xfId="0" applyBorder="1" applyProtection="1">
      <protection hidden="1"/>
    </xf>
    <xf numFmtId="44" fontId="0" fillId="0" borderId="13" xfId="0" applyNumberFormat="1" applyBorder="1" applyProtection="1">
      <protection hidden="1"/>
    </xf>
    <xf numFmtId="0" fontId="1" fillId="0" borderId="1" xfId="0" applyFont="1" applyFill="1" applyBorder="1" applyAlignment="1" applyProtection="1">
      <alignment horizontal="left" indent="2"/>
      <protection hidden="1"/>
    </xf>
    <xf numFmtId="2" fontId="0" fillId="0" borderId="22" xfId="4" applyNumberFormat="1" applyFont="1" applyFill="1" applyBorder="1" applyAlignment="1" applyProtection="1">
      <alignment horizontal="right" wrapText="1"/>
      <protection hidden="1"/>
    </xf>
    <xf numFmtId="10" fontId="1" fillId="0" borderId="23" xfId="0" applyNumberFormat="1" applyFont="1" applyFill="1" applyBorder="1" applyAlignment="1" applyProtection="1">
      <alignment horizontal="right"/>
      <protection hidden="1"/>
    </xf>
    <xf numFmtId="44" fontId="0" fillId="0" borderId="0" xfId="0" applyNumberFormat="1" applyProtection="1">
      <protection locked="0"/>
    </xf>
    <xf numFmtId="10" fontId="1" fillId="0" borderId="0" xfId="0" applyNumberFormat="1" applyFont="1" applyFill="1" applyBorder="1" applyAlignment="1" applyProtection="1">
      <alignment horizontal="right"/>
    </xf>
    <xf numFmtId="2" fontId="0" fillId="0" borderId="22" xfId="1" applyNumberFormat="1" applyFont="1" applyFill="1" applyBorder="1" applyAlignment="1" applyProtection="1">
      <alignment horizontal="right"/>
      <protection hidden="1"/>
    </xf>
    <xf numFmtId="0" fontId="1" fillId="0" borderId="1" xfId="0" applyFont="1" applyBorder="1"/>
    <xf numFmtId="0" fontId="1" fillId="0" borderId="0" xfId="0" applyFont="1" applyAlignment="1">
      <alignment horizontal="left" indent="2"/>
    </xf>
    <xf numFmtId="44" fontId="0" fillId="0" borderId="0" xfId="2" applyFont="1" applyFill="1" applyBorder="1" applyAlignment="1" applyProtection="1">
      <protection hidden="1"/>
    </xf>
    <xf numFmtId="2" fontId="0" fillId="0" borderId="0" xfId="1" applyNumberFormat="1" applyFont="1" applyFill="1" applyBorder="1" applyAlignment="1" applyProtection="1">
      <alignment horizontal="right"/>
    </xf>
    <xf numFmtId="44" fontId="1" fillId="0" borderId="21" xfId="2" applyFill="1" applyBorder="1" applyProtection="1">
      <protection hidden="1"/>
    </xf>
    <xf numFmtId="0" fontId="24" fillId="0" borderId="0" xfId="0" applyFont="1" applyAlignment="1" applyProtection="1">
      <alignment wrapText="1"/>
      <protection hidden="1"/>
    </xf>
    <xf numFmtId="0" fontId="6" fillId="2" borderId="0" xfId="0" applyFont="1" applyFill="1" applyBorder="1" applyAlignment="1" applyProtection="1">
      <alignment horizontal="left"/>
      <protection hidden="1"/>
    </xf>
    <xf numFmtId="0" fontId="25" fillId="0" borderId="0" xfId="0" applyNumberFormat="1" applyFont="1" applyBorder="1" applyAlignment="1" applyProtection="1">
      <alignment horizontal="center"/>
      <protection hidden="1"/>
    </xf>
    <xf numFmtId="0" fontId="1" fillId="0" borderId="0" xfId="0" quotePrefix="1" applyFont="1" applyBorder="1" applyAlignment="1" applyProtection="1">
      <alignment horizontal="right"/>
      <protection hidden="1"/>
    </xf>
    <xf numFmtId="49" fontId="1" fillId="0" borderId="2" xfId="0" applyNumberFormat="1" applyFont="1" applyBorder="1" applyAlignment="1">
      <alignment horizontal="center"/>
    </xf>
    <xf numFmtId="0" fontId="4" fillId="0" borderId="0" xfId="0" applyFont="1" applyBorder="1" applyAlignment="1" applyProtection="1">
      <alignment horizontal="center" vertical="center"/>
      <protection hidden="1"/>
    </xf>
    <xf numFmtId="44" fontId="0" fillId="6" borderId="0" xfId="2" applyFont="1" applyFill="1" applyBorder="1" applyAlignment="1" applyProtection="1">
      <protection locked="0" hidden="1"/>
    </xf>
    <xf numFmtId="44" fontId="16" fillId="8" borderId="0" xfId="2" applyFont="1" applyFill="1" applyBorder="1" applyProtection="1">
      <protection locked="0" hidden="1"/>
    </xf>
    <xf numFmtId="44" fontId="2" fillId="0" borderId="0" xfId="2" applyFont="1" applyFill="1" applyBorder="1" applyProtection="1">
      <protection hidden="1"/>
    </xf>
    <xf numFmtId="44" fontId="3" fillId="3" borderId="0" xfId="0" applyNumberFormat="1" applyFont="1" applyFill="1" applyBorder="1" applyProtection="1">
      <protection hidden="1"/>
    </xf>
    <xf numFmtId="44" fontId="3" fillId="0" borderId="0" xfId="0" applyNumberFormat="1" applyFont="1" applyFill="1" applyBorder="1" applyProtection="1">
      <protection hidden="1"/>
    </xf>
    <xf numFmtId="44" fontId="2" fillId="0" borderId="0" xfId="0" applyNumberFormat="1" applyFont="1" applyFill="1" applyBorder="1" applyProtection="1">
      <protection hidden="1"/>
    </xf>
    <xf numFmtId="44" fontId="2" fillId="7" borderId="0" xfId="0" applyNumberFormat="1" applyFont="1" applyFill="1" applyBorder="1" applyProtection="1">
      <protection hidden="1"/>
    </xf>
    <xf numFmtId="44" fontId="2" fillId="0" borderId="0" xfId="0" applyNumberFormat="1" applyFont="1" applyBorder="1" applyProtection="1">
      <protection hidden="1"/>
    </xf>
    <xf numFmtId="0" fontId="7" fillId="2" borderId="0" xfId="3" applyFill="1" applyBorder="1" applyAlignment="1" applyProtection="1">
      <alignment horizontal="left"/>
      <protection hidden="1"/>
    </xf>
    <xf numFmtId="10" fontId="26" fillId="0" borderId="0" xfId="0" applyNumberFormat="1" applyFont="1" applyFill="1" applyBorder="1" applyProtection="1">
      <protection hidden="1"/>
    </xf>
    <xf numFmtId="0" fontId="15" fillId="0" borderId="0" xfId="4" applyNumberFormat="1" applyFont="1"/>
    <xf numFmtId="44" fontId="2" fillId="0" borderId="5" xfId="2" applyNumberFormat="1" applyFont="1" applyFill="1" applyBorder="1" applyProtection="1">
      <protection hidden="1"/>
    </xf>
    <xf numFmtId="0" fontId="1" fillId="0" borderId="3" xfId="0" applyFont="1" applyFill="1" applyBorder="1" applyAlignment="1" applyProtection="1">
      <alignment horizontal="left"/>
      <protection hidden="1"/>
    </xf>
    <xf numFmtId="0" fontId="1" fillId="0" borderId="1" xfId="0" applyFont="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0" xfId="0" quotePrefix="1" applyFont="1" applyBorder="1" applyAlignment="1" applyProtection="1">
      <alignment horizontal="center"/>
      <protection hidden="1"/>
    </xf>
    <xf numFmtId="49" fontId="6" fillId="9" borderId="2" xfId="0" applyNumberFormat="1" applyFont="1" applyFill="1" applyBorder="1" applyAlignment="1" applyProtection="1">
      <alignment horizontal="center"/>
      <protection hidden="1"/>
    </xf>
    <xf numFmtId="0" fontId="6" fillId="9" borderId="0" xfId="0" applyFont="1" applyFill="1" applyBorder="1" applyAlignment="1" applyProtection="1">
      <alignment horizontal="left"/>
      <protection hidden="1"/>
    </xf>
    <xf numFmtId="0" fontId="17" fillId="9" borderId="0" xfId="0" applyFont="1" applyFill="1" applyBorder="1" applyProtection="1">
      <protection hidden="1"/>
    </xf>
    <xf numFmtId="0" fontId="6" fillId="9" borderId="0" xfId="0" quotePrefix="1" applyFont="1" applyFill="1" applyBorder="1" applyAlignment="1" applyProtection="1">
      <alignment horizontal="center"/>
      <protection hidden="1"/>
    </xf>
    <xf numFmtId="44" fontId="6" fillId="9" borderId="24" xfId="0" applyNumberFormat="1" applyFont="1" applyFill="1" applyBorder="1" applyProtection="1">
      <protection hidden="1"/>
    </xf>
    <xf numFmtId="49" fontId="1" fillId="0" borderId="5" xfId="0" applyNumberFormat="1" applyFont="1" applyBorder="1" applyAlignment="1" applyProtection="1">
      <alignment horizontal="center"/>
      <protection hidden="1"/>
    </xf>
    <xf numFmtId="44" fontId="2" fillId="0" borderId="25" xfId="0" applyNumberFormat="1" applyFont="1" applyFill="1" applyBorder="1" applyProtection="1">
      <protection hidden="1"/>
    </xf>
    <xf numFmtId="0" fontId="1" fillId="0" borderId="0" xfId="0" applyFont="1" applyBorder="1"/>
    <xf numFmtId="0" fontId="1" fillId="0" borderId="0" xfId="0" applyFont="1" applyBorder="1" applyProtection="1"/>
    <xf numFmtId="0" fontId="1" fillId="0" borderId="0" xfId="0" applyFont="1" applyBorder="1" applyProtection="1">
      <protection hidden="1"/>
    </xf>
    <xf numFmtId="44" fontId="0" fillId="0" borderId="0" xfId="0" applyNumberFormat="1" applyFill="1" applyBorder="1" applyAlignment="1" applyProtection="1">
      <alignment horizontal="center"/>
      <protection hidden="1"/>
    </xf>
    <xf numFmtId="0" fontId="1" fillId="0" borderId="1" xfId="0" applyFont="1" applyBorder="1" applyAlignment="1">
      <alignment horizontal="left"/>
    </xf>
    <xf numFmtId="49" fontId="1" fillId="0" borderId="26" xfId="0" applyNumberFormat="1" applyFont="1" applyBorder="1" applyAlignment="1" applyProtection="1">
      <alignment horizontal="center"/>
      <protection hidden="1"/>
    </xf>
    <xf numFmtId="0" fontId="1" fillId="0" borderId="3" xfId="0" applyFont="1" applyFill="1" applyBorder="1" applyAlignment="1">
      <alignment horizontal="left"/>
    </xf>
    <xf numFmtId="0" fontId="6" fillId="10" borderId="9" xfId="0" applyFont="1" applyFill="1" applyBorder="1" applyAlignment="1">
      <alignment horizontal="left"/>
    </xf>
    <xf numFmtId="0" fontId="3" fillId="10" borderId="9" xfId="0" applyFont="1" applyFill="1" applyBorder="1" applyAlignment="1">
      <alignment horizontal="left"/>
    </xf>
    <xf numFmtId="0" fontId="3" fillId="10" borderId="9" xfId="0" applyFont="1" applyFill="1" applyBorder="1" applyAlignment="1" applyProtection="1">
      <alignment horizontal="left"/>
    </xf>
    <xf numFmtId="0" fontId="0" fillId="10" borderId="9" xfId="0" applyFill="1" applyBorder="1"/>
    <xf numFmtId="0" fontId="1" fillId="10" borderId="9" xfId="0" quotePrefix="1" applyFont="1" applyFill="1" applyBorder="1" applyAlignment="1">
      <alignment horizontal="center"/>
    </xf>
    <xf numFmtId="44" fontId="2" fillId="10" borderId="21" xfId="0" applyNumberFormat="1" applyFont="1" applyFill="1" applyBorder="1" applyProtection="1">
      <protection hidden="1"/>
    </xf>
    <xf numFmtId="49" fontId="6" fillId="10" borderId="10" xfId="0" applyNumberFormat="1" applyFont="1" applyFill="1" applyBorder="1" applyAlignment="1">
      <alignment horizontal="center"/>
    </xf>
    <xf numFmtId="49" fontId="1" fillId="0" borderId="4" xfId="0" applyNumberFormat="1" applyFont="1" applyBorder="1" applyAlignment="1">
      <alignment horizontal="center"/>
    </xf>
    <xf numFmtId="164" fontId="0" fillId="0" borderId="0" xfId="0" applyNumberFormat="1" applyFill="1" applyBorder="1" applyProtection="1">
      <protection hidden="1"/>
    </xf>
    <xf numFmtId="44" fontId="1" fillId="0" borderId="5" xfId="2" applyFill="1" applyBorder="1" applyProtection="1">
      <protection locked="0" hidden="1"/>
    </xf>
    <xf numFmtId="165" fontId="3" fillId="0" borderId="5" xfId="0" applyNumberFormat="1" applyFont="1" applyFill="1" applyBorder="1" applyProtection="1">
      <protection hidden="1"/>
    </xf>
    <xf numFmtId="165" fontId="0" fillId="0" borderId="5" xfId="2" applyNumberFormat="1" applyFont="1" applyFill="1" applyBorder="1" applyProtection="1">
      <protection hidden="1"/>
    </xf>
    <xf numFmtId="44" fontId="0" fillId="0" borderId="0" xfId="0" applyNumberFormat="1" applyFill="1" applyProtection="1">
      <protection hidden="1"/>
    </xf>
    <xf numFmtId="165" fontId="0" fillId="0" borderId="0" xfId="0" applyNumberFormat="1"/>
    <xf numFmtId="44" fontId="0" fillId="0" borderId="5" xfId="2" applyNumberFormat="1" applyFont="1" applyFill="1" applyBorder="1" applyProtection="1">
      <protection hidden="1"/>
    </xf>
    <xf numFmtId="165" fontId="0" fillId="0" borderId="0" xfId="0" applyNumberFormat="1" applyBorder="1" applyProtection="1">
      <protection hidden="1"/>
    </xf>
    <xf numFmtId="0" fontId="1" fillId="0" borderId="0" xfId="0" applyFont="1" applyBorder="1" applyAlignment="1" applyProtection="1">
      <alignment horizontal="left"/>
      <protection hidden="1"/>
    </xf>
    <xf numFmtId="0" fontId="1" fillId="0" borderId="0" xfId="0" applyFont="1" applyFill="1" applyBorder="1"/>
    <xf numFmtId="49" fontId="0" fillId="0" borderId="2" xfId="0" applyNumberFormat="1" applyFill="1" applyBorder="1" applyAlignment="1">
      <alignment horizontal="center"/>
    </xf>
    <xf numFmtId="0" fontId="0" fillId="0" borderId="0" xfId="0" applyFill="1" applyBorder="1" applyProtection="1"/>
    <xf numFmtId="0" fontId="1" fillId="0" borderId="0" xfId="0" applyFont="1" applyFill="1" applyBorder="1" applyAlignment="1">
      <alignment horizontal="left"/>
    </xf>
    <xf numFmtId="0" fontId="12" fillId="0" borderId="0" xfId="0" applyFont="1" applyAlignment="1">
      <alignment horizontal="left" vertical="top" wrapText="1"/>
    </xf>
    <xf numFmtId="49" fontId="0" fillId="0" borderId="1" xfId="0" applyNumberFormat="1" applyBorder="1" applyAlignment="1">
      <alignment horizontal="center"/>
    </xf>
    <xf numFmtId="49" fontId="1" fillId="0" borderId="1" xfId="0" applyNumberFormat="1" applyFont="1" applyBorder="1" applyAlignment="1">
      <alignment horizontal="center"/>
    </xf>
    <xf numFmtId="0" fontId="1" fillId="0" borderId="0" xfId="0" quotePrefix="1" applyFont="1" applyBorder="1" applyAlignment="1">
      <alignment horizontal="right"/>
    </xf>
    <xf numFmtId="0" fontId="1" fillId="0" borderId="0" xfId="0" applyFont="1" applyBorder="1" applyAlignment="1">
      <alignment horizontal="left" indent="2"/>
    </xf>
    <xf numFmtId="0" fontId="2" fillId="0" borderId="0" xfId="0" applyFont="1" applyBorder="1" applyAlignment="1">
      <alignment horizontal="center"/>
    </xf>
    <xf numFmtId="44" fontId="0" fillId="0" borderId="12" xfId="0" applyNumberFormat="1" applyFill="1" applyBorder="1" applyProtection="1">
      <protection hidden="1"/>
    </xf>
    <xf numFmtId="44" fontId="1" fillId="0" borderId="0" xfId="2" applyFill="1" applyBorder="1" applyProtection="1">
      <protection hidden="1"/>
    </xf>
    <xf numFmtId="44" fontId="1" fillId="0" borderId="0" xfId="2" applyFill="1" applyBorder="1" applyProtection="1">
      <protection locked="0" hidden="1"/>
    </xf>
    <xf numFmtId="44" fontId="10" fillId="0" borderId="0" xfId="0" applyNumberFormat="1" applyFont="1" applyFill="1" applyBorder="1" applyAlignment="1">
      <alignment horizontal="right"/>
    </xf>
    <xf numFmtId="0" fontId="4" fillId="0" borderId="0" xfId="0" applyFont="1" applyFill="1" applyBorder="1" applyAlignment="1">
      <alignment horizontal="center" vertical="center"/>
    </xf>
    <xf numFmtId="0" fontId="6" fillId="0" borderId="0" xfId="0" applyFont="1" applyFill="1" applyBorder="1" applyAlignment="1">
      <alignment horizontal="left"/>
    </xf>
    <xf numFmtId="49" fontId="0" fillId="0" borderId="0" xfId="0" applyNumberFormat="1" applyFill="1" applyBorder="1" applyAlignment="1">
      <alignment horizontal="center"/>
    </xf>
    <xf numFmtId="0" fontId="7" fillId="0" borderId="0" xfId="3" applyFill="1" applyBorder="1" applyAlignment="1" applyProtection="1">
      <alignment horizontal="left"/>
    </xf>
    <xf numFmtId="0" fontId="12" fillId="0" borderId="0" xfId="0" applyFont="1" applyFill="1" applyAlignment="1">
      <alignment horizontal="left" vertical="top" wrapText="1"/>
    </xf>
    <xf numFmtId="44" fontId="0" fillId="0" borderId="21" xfId="0" applyNumberFormat="1" applyFill="1" applyBorder="1" applyProtection="1">
      <protection hidden="1"/>
    </xf>
    <xf numFmtId="44" fontId="0" fillId="0" borderId="13" xfId="0" applyNumberFormat="1" applyFill="1" applyBorder="1" applyProtection="1">
      <protection hidden="1"/>
    </xf>
    <xf numFmtId="43" fontId="0" fillId="0" borderId="5" xfId="1" applyFont="1" applyFill="1" applyBorder="1" applyProtection="1">
      <protection hidden="1"/>
    </xf>
    <xf numFmtId="0" fontId="0" fillId="0" borderId="0" xfId="0" applyFill="1" applyBorder="1" applyProtection="1">
      <protection locked="0"/>
    </xf>
    <xf numFmtId="0" fontId="1" fillId="0" borderId="0" xfId="0" applyFont="1" applyFill="1" applyBorder="1" applyProtection="1"/>
    <xf numFmtId="0" fontId="1" fillId="0" borderId="1" xfId="0" applyFont="1" applyFill="1" applyBorder="1" applyProtection="1"/>
    <xf numFmtId="0" fontId="1" fillId="0" borderId="0" xfId="0" applyFont="1" applyBorder="1" applyAlignment="1" applyProtection="1">
      <alignment horizontal="left" indent="2"/>
    </xf>
    <xf numFmtId="0" fontId="1" fillId="0" borderId="3" xfId="0" quotePrefix="1" applyFont="1" applyBorder="1" applyAlignment="1" applyProtection="1">
      <alignment horizontal="right"/>
      <protection hidden="1"/>
    </xf>
    <xf numFmtId="0" fontId="1" fillId="0" borderId="3" xfId="0" quotePrefix="1" applyFont="1" applyBorder="1" applyAlignment="1">
      <alignment horizontal="right"/>
    </xf>
    <xf numFmtId="0" fontId="1" fillId="0" borderId="0" xfId="0" quotePrefix="1" applyFont="1" applyBorder="1" applyAlignment="1">
      <alignment horizontal="right" indent="1"/>
    </xf>
    <xf numFmtId="0" fontId="0" fillId="0" borderId="0" xfId="0" quotePrefix="1" applyBorder="1" applyAlignment="1">
      <alignment horizontal="right"/>
    </xf>
    <xf numFmtId="44" fontId="1" fillId="10" borderId="5" xfId="1" applyNumberFormat="1" applyFont="1" applyFill="1" applyBorder="1" applyProtection="1">
      <protection locked="0" hidden="1"/>
    </xf>
    <xf numFmtId="167" fontId="1" fillId="10" borderId="5" xfId="2" applyNumberFormat="1" applyFill="1" applyBorder="1" applyProtection="1">
      <protection locked="0" hidden="1"/>
    </xf>
    <xf numFmtId="44" fontId="1" fillId="10" borderId="5" xfId="2" applyFill="1" applyBorder="1" applyProtection="1">
      <protection locked="0" hidden="1"/>
    </xf>
    <xf numFmtId="44" fontId="2" fillId="11" borderId="27" xfId="0" applyNumberFormat="1" applyFont="1" applyFill="1" applyBorder="1" applyProtection="1">
      <protection hidden="1"/>
    </xf>
    <xf numFmtId="44" fontId="2" fillId="11" borderId="11" xfId="0" applyNumberFormat="1" applyFont="1" applyFill="1" applyBorder="1" applyProtection="1">
      <protection hidden="1"/>
    </xf>
    <xf numFmtId="44" fontId="19" fillId="12" borderId="5" xfId="2" applyFont="1" applyFill="1" applyBorder="1" applyAlignment="1" applyProtection="1">
      <protection locked="0" hidden="1"/>
    </xf>
    <xf numFmtId="44" fontId="16" fillId="12" borderId="5" xfId="2" applyFont="1" applyFill="1" applyBorder="1" applyProtection="1">
      <protection locked="0" hidden="1"/>
    </xf>
    <xf numFmtId="165" fontId="1" fillId="12" borderId="5" xfId="2" applyNumberFormat="1" applyFont="1" applyFill="1" applyBorder="1" applyProtection="1">
      <protection locked="0" hidden="1"/>
    </xf>
    <xf numFmtId="165" fontId="19" fillId="12" borderId="5" xfId="2" applyNumberFormat="1" applyFont="1" applyFill="1" applyBorder="1" applyProtection="1">
      <protection locked="0" hidden="1"/>
    </xf>
    <xf numFmtId="44" fontId="19" fillId="12" borderId="5" xfId="2" applyFont="1" applyFill="1" applyBorder="1" applyProtection="1">
      <protection locked="0" hidden="1"/>
    </xf>
    <xf numFmtId="2" fontId="0" fillId="12" borderId="5" xfId="0" applyNumberFormat="1" applyFill="1" applyBorder="1" applyAlignment="1" applyProtection="1">
      <alignment horizontal="center"/>
      <protection locked="0"/>
    </xf>
    <xf numFmtId="0" fontId="0" fillId="13" borderId="0" xfId="0" applyFill="1" applyProtection="1">
      <protection hidden="1"/>
    </xf>
    <xf numFmtId="0" fontId="0" fillId="11" borderId="0" xfId="0" applyFill="1" applyProtection="1">
      <protection hidden="1"/>
    </xf>
    <xf numFmtId="0" fontId="6" fillId="0" borderId="29"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1" fillId="0" borderId="29" xfId="0" applyFont="1" applyBorder="1" applyAlignment="1" applyProtection="1">
      <alignment horizontal="left" wrapText="1" indent="4"/>
      <protection hidden="1"/>
    </xf>
    <xf numFmtId="0" fontId="0" fillId="0" borderId="29" xfId="0" applyBorder="1" applyAlignment="1" applyProtection="1">
      <alignment horizontal="left" indent="4"/>
      <protection hidden="1"/>
    </xf>
    <xf numFmtId="0" fontId="0" fillId="0" borderId="0" xfId="0" applyBorder="1" applyAlignment="1" applyProtection="1">
      <alignment horizontal="left" indent="4"/>
      <protection hidden="1"/>
    </xf>
    <xf numFmtId="44" fontId="0" fillId="0" borderId="22" xfId="2" applyFont="1" applyFill="1" applyBorder="1" applyAlignment="1" applyProtection="1">
      <alignment horizontal="center"/>
      <protection hidden="1"/>
    </xf>
    <xf numFmtId="44" fontId="0" fillId="0" borderId="14" xfId="2" applyFont="1" applyFill="1" applyBorder="1" applyAlignment="1" applyProtection="1">
      <alignment horizontal="center"/>
      <protection hidden="1"/>
    </xf>
    <xf numFmtId="166" fontId="2" fillId="0" borderId="22" xfId="2" applyNumberFormat="1" applyFont="1" applyBorder="1" applyAlignment="1" applyProtection="1">
      <alignment horizontal="center"/>
      <protection hidden="1"/>
    </xf>
    <xf numFmtId="166" fontId="2" fillId="0" borderId="14" xfId="2" applyNumberFormat="1" applyFont="1" applyBorder="1" applyAlignment="1" applyProtection="1">
      <alignment horizontal="center"/>
      <protection hidden="1"/>
    </xf>
    <xf numFmtId="0" fontId="1" fillId="0" borderId="35" xfId="0" applyFont="1" applyBorder="1" applyAlignment="1" applyProtection="1">
      <alignment horizontal="left" vertical="center" wrapText="1" indent="1"/>
      <protection hidden="1"/>
    </xf>
    <xf numFmtId="0" fontId="1" fillId="0" borderId="9" xfId="0" applyFont="1" applyBorder="1" applyAlignment="1" applyProtection="1">
      <alignment horizontal="left" vertical="center" indent="1"/>
      <protection hidden="1"/>
    </xf>
    <xf numFmtId="0" fontId="1" fillId="0" borderId="36" xfId="0" applyFont="1" applyBorder="1" applyAlignment="1" applyProtection="1">
      <alignment horizontal="left" vertical="center" indent="1"/>
      <protection hidden="1"/>
    </xf>
    <xf numFmtId="0" fontId="1" fillId="0" borderId="15" xfId="0" applyFont="1" applyBorder="1" applyAlignment="1" applyProtection="1">
      <alignment horizontal="left" vertical="center" indent="1"/>
      <protection hidden="1"/>
    </xf>
    <xf numFmtId="0" fontId="1" fillId="0" borderId="0" xfId="0" applyFont="1" applyBorder="1" applyAlignment="1" applyProtection="1">
      <alignment horizontal="left" vertical="center" indent="1"/>
      <protection hidden="1"/>
    </xf>
    <xf numFmtId="0" fontId="1" fillId="0" borderId="16" xfId="0" applyFont="1" applyBorder="1" applyAlignment="1" applyProtection="1">
      <alignment horizontal="left" vertical="center" indent="1"/>
      <protection hidden="1"/>
    </xf>
    <xf numFmtId="0" fontId="1" fillId="0" borderId="28" xfId="0" applyFont="1" applyBorder="1" applyAlignment="1" applyProtection="1">
      <alignment horizontal="left"/>
      <protection hidden="1"/>
    </xf>
    <xf numFmtId="0" fontId="1" fillId="0" borderId="29" xfId="0" applyFont="1" applyBorder="1" applyAlignment="1" applyProtection="1">
      <alignment horizontal="left"/>
      <protection hidden="1"/>
    </xf>
    <xf numFmtId="0" fontId="1" fillId="0" borderId="30" xfId="0" applyFont="1" applyBorder="1" applyAlignment="1" applyProtection="1">
      <alignment horizontal="left"/>
      <protection hidden="1"/>
    </xf>
    <xf numFmtId="0" fontId="0" fillId="0" borderId="31" xfId="0" applyBorder="1" applyAlignment="1" applyProtection="1">
      <alignment horizontal="left"/>
      <protection hidden="1"/>
    </xf>
    <xf numFmtId="0" fontId="1" fillId="12" borderId="32" xfId="0" applyFont="1" applyFill="1" applyBorder="1" applyAlignment="1" applyProtection="1">
      <alignment horizontal="center"/>
      <protection locked="0"/>
    </xf>
    <xf numFmtId="0" fontId="0" fillId="12" borderId="33" xfId="0" applyFill="1" applyBorder="1" applyAlignment="1" applyProtection="1">
      <alignment horizontal="center"/>
      <protection locked="0"/>
    </xf>
    <xf numFmtId="0" fontId="1" fillId="12" borderId="34" xfId="0" applyFont="1" applyFill="1" applyBorder="1" applyAlignment="1" applyProtection="1">
      <alignment horizontal="center"/>
      <protection locked="0"/>
    </xf>
    <xf numFmtId="0" fontId="1" fillId="12" borderId="33" xfId="0" applyFont="1" applyFill="1" applyBorder="1" applyAlignment="1" applyProtection="1">
      <alignment horizontal="center"/>
      <protection locked="0"/>
    </xf>
    <xf numFmtId="0" fontId="1" fillId="0" borderId="31" xfId="0" applyFont="1" applyBorder="1" applyAlignment="1" applyProtection="1">
      <alignment horizontal="left"/>
      <protection hidden="1"/>
    </xf>
    <xf numFmtId="44" fontId="0" fillId="0" borderId="22" xfId="2" applyFont="1" applyBorder="1" applyAlignment="1" applyProtection="1">
      <alignment horizontal="center"/>
      <protection hidden="1"/>
    </xf>
    <xf numFmtId="44" fontId="0" fillId="0" borderId="14" xfId="2" applyFont="1" applyBorder="1" applyAlignment="1" applyProtection="1">
      <alignment horizontal="center"/>
      <protection hidden="1"/>
    </xf>
    <xf numFmtId="44" fontId="16" fillId="11" borderId="22" xfId="2" applyFont="1" applyFill="1" applyBorder="1" applyAlignment="1" applyProtection="1">
      <alignment horizontal="center"/>
      <protection locked="0"/>
    </xf>
    <xf numFmtId="44" fontId="16" fillId="11" borderId="14" xfId="2" applyFont="1" applyFill="1" applyBorder="1" applyAlignment="1" applyProtection="1">
      <alignment horizontal="center"/>
      <protection locked="0"/>
    </xf>
    <xf numFmtId="44" fontId="2" fillId="0" borderId="22" xfId="2" applyFont="1" applyBorder="1" applyAlignment="1" applyProtection="1">
      <alignment horizontal="center"/>
      <protection hidden="1"/>
    </xf>
    <xf numFmtId="44" fontId="2" fillId="0" borderId="14" xfId="2" applyFont="1" applyBorder="1" applyAlignment="1" applyProtection="1">
      <alignment horizontal="center"/>
      <protection hidden="1"/>
    </xf>
    <xf numFmtId="14" fontId="0" fillId="12" borderId="37" xfId="0" applyNumberFormat="1" applyFill="1" applyBorder="1" applyAlignment="1" applyProtection="1">
      <alignment horizontal="left"/>
      <protection locked="0"/>
    </xf>
    <xf numFmtId="14" fontId="0" fillId="12" borderId="33" xfId="0" applyNumberFormat="1" applyFill="1" applyBorder="1" applyAlignment="1" applyProtection="1">
      <alignment horizontal="left"/>
      <protection locked="0"/>
    </xf>
    <xf numFmtId="0" fontId="0" fillId="12" borderId="34" xfId="0" applyFill="1" applyBorder="1" applyAlignment="1" applyProtection="1">
      <alignment horizontal="center"/>
      <protection locked="0"/>
    </xf>
    <xf numFmtId="0" fontId="0" fillId="12" borderId="32" xfId="0" applyFill="1" applyBorder="1" applyAlignment="1" applyProtection="1">
      <alignment horizontal="center"/>
      <protection locked="0"/>
    </xf>
    <xf numFmtId="0" fontId="0" fillId="12" borderId="38" xfId="0" applyFill="1" applyBorder="1" applyAlignment="1" applyProtection="1">
      <alignment horizontal="center"/>
      <protection locked="0"/>
    </xf>
    <xf numFmtId="0" fontId="2" fillId="10" borderId="41" xfId="0" applyFont="1" applyFill="1" applyBorder="1" applyAlignment="1" applyProtection="1">
      <alignment horizontal="center"/>
      <protection hidden="1"/>
    </xf>
    <xf numFmtId="0" fontId="2" fillId="10" borderId="6" xfId="0" applyFont="1" applyFill="1" applyBorder="1" applyAlignment="1" applyProtection="1">
      <alignment horizontal="center"/>
      <protection hidden="1"/>
    </xf>
    <xf numFmtId="0" fontId="2" fillId="10" borderId="14" xfId="0" applyFont="1" applyFill="1" applyBorder="1" applyAlignment="1" applyProtection="1">
      <alignment horizontal="center"/>
      <protection hidden="1"/>
    </xf>
    <xf numFmtId="0" fontId="4" fillId="0" borderId="32" xfId="0" applyFont="1" applyBorder="1" applyAlignment="1" applyProtection="1">
      <alignment horizontal="center" vertical="center"/>
      <protection hidden="1"/>
    </xf>
    <xf numFmtId="0" fontId="1" fillId="0" borderId="35"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 fillId="0" borderId="39"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1" fillId="0" borderId="22"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10" borderId="22" xfId="0" applyFont="1" applyFill="1" applyBorder="1" applyAlignment="1" applyProtection="1">
      <alignment horizontal="center" vertical="center"/>
      <protection locked="0"/>
    </xf>
    <xf numFmtId="0" fontId="1" fillId="10" borderId="6" xfId="0" applyFont="1" applyFill="1" applyBorder="1" applyAlignment="1" applyProtection="1">
      <alignment horizontal="center" vertical="center"/>
      <protection locked="0"/>
    </xf>
    <xf numFmtId="0" fontId="1" fillId="10" borderId="14" xfId="0" applyFont="1" applyFill="1" applyBorder="1" applyAlignment="1" applyProtection="1">
      <alignment horizontal="center" vertical="center"/>
      <protection locked="0"/>
    </xf>
    <xf numFmtId="0" fontId="1" fillId="0" borderId="40" xfId="0" applyFont="1" applyBorder="1" applyAlignment="1" applyProtection="1">
      <alignment horizontal="left"/>
      <protection hidden="1"/>
    </xf>
    <xf numFmtId="0" fontId="25" fillId="0" borderId="37" xfId="0" applyFont="1" applyBorder="1" applyAlignment="1" applyProtection="1">
      <alignment horizontal="center" vertical="center"/>
      <protection hidden="1"/>
    </xf>
    <xf numFmtId="0" fontId="25" fillId="0" borderId="32" xfId="0" applyFont="1" applyBorder="1" applyAlignment="1" applyProtection="1">
      <alignment horizontal="center" vertical="center"/>
      <protection hidden="1"/>
    </xf>
    <xf numFmtId="0" fontId="25" fillId="0" borderId="38" xfId="0" applyFont="1" applyBorder="1" applyAlignment="1" applyProtection="1">
      <alignment horizontal="center" vertical="center"/>
      <protection hidden="1"/>
    </xf>
    <xf numFmtId="0" fontId="1" fillId="0" borderId="40" xfId="0" applyFont="1" applyBorder="1" applyAlignment="1" applyProtection="1">
      <alignment horizontal="left" vertical="center" wrapText="1"/>
      <protection hidden="1"/>
    </xf>
    <xf numFmtId="0" fontId="1" fillId="0" borderId="29" xfId="0" applyFont="1" applyBorder="1" applyAlignment="1" applyProtection="1">
      <alignment horizontal="left" vertical="center" wrapText="1"/>
      <protection hidden="1"/>
    </xf>
    <xf numFmtId="0" fontId="1" fillId="0" borderId="30"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15"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16" xfId="0" applyFont="1" applyBorder="1" applyAlignment="1" applyProtection="1">
      <alignment horizontal="left" wrapText="1"/>
      <protection hidden="1"/>
    </xf>
    <xf numFmtId="44" fontId="16" fillId="11" borderId="8" xfId="2" applyFont="1" applyFill="1" applyBorder="1" applyAlignment="1" applyProtection="1">
      <alignment horizontal="center"/>
      <protection locked="0"/>
    </xf>
    <xf numFmtId="44" fontId="16" fillId="11" borderId="7" xfId="2" applyFont="1" applyFill="1" applyBorder="1" applyAlignment="1" applyProtection="1">
      <alignment horizontal="center"/>
      <protection locked="0"/>
    </xf>
    <xf numFmtId="0" fontId="4" fillId="0" borderId="3" xfId="0" applyFont="1" applyBorder="1" applyAlignment="1" applyProtection="1">
      <alignment horizontal="center" vertical="center"/>
      <protection hidden="1"/>
    </xf>
    <xf numFmtId="0" fontId="6" fillId="2" borderId="26" xfId="0" applyFont="1" applyFill="1" applyBorder="1" applyAlignment="1" applyProtection="1">
      <alignment horizontal="left"/>
      <protection hidden="1"/>
    </xf>
    <xf numFmtId="0" fontId="6" fillId="2" borderId="9" xfId="0" applyFont="1" applyFill="1" applyBorder="1" applyAlignment="1" applyProtection="1">
      <alignment horizontal="left"/>
      <protection hidden="1"/>
    </xf>
    <xf numFmtId="0" fontId="6" fillId="2" borderId="21" xfId="0" applyFont="1" applyFill="1" applyBorder="1" applyAlignment="1" applyProtection="1">
      <alignment horizontal="left"/>
      <protection hidden="1"/>
    </xf>
    <xf numFmtId="0" fontId="6" fillId="2" borderId="1"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6" fillId="2" borderId="12" xfId="0" applyFont="1" applyFill="1" applyBorder="1" applyAlignment="1" applyProtection="1">
      <alignment horizontal="left"/>
      <protection hidden="1"/>
    </xf>
    <xf numFmtId="0" fontId="24" fillId="0" borderId="0" xfId="0" applyFont="1" applyAlignment="1" applyProtection="1">
      <alignment vertical="center" wrapText="1"/>
      <protection hidden="1"/>
    </xf>
    <xf numFmtId="0" fontId="24" fillId="0" borderId="0" xfId="0" applyFont="1" applyAlignment="1" applyProtection="1">
      <alignment wrapText="1"/>
      <protection hidden="1"/>
    </xf>
    <xf numFmtId="0" fontId="25" fillId="0" borderId="0" xfId="0" applyNumberFormat="1" applyFont="1" applyBorder="1" applyAlignment="1" applyProtection="1">
      <alignment horizontal="center"/>
      <protection hidden="1"/>
    </xf>
    <xf numFmtId="0" fontId="1" fillId="0" borderId="8" xfId="0" applyFont="1" applyFill="1" applyBorder="1" applyAlignment="1" applyProtection="1">
      <alignment horizontal="left"/>
      <protection hidden="1"/>
    </xf>
    <xf numFmtId="0" fontId="1" fillId="0" borderId="3" xfId="0" applyFont="1" applyFill="1" applyBorder="1" applyAlignment="1" applyProtection="1">
      <alignment horizontal="left"/>
      <protection hidden="1"/>
    </xf>
    <xf numFmtId="0" fontId="7" fillId="2" borderId="9" xfId="3" applyFill="1" applyBorder="1" applyAlignment="1" applyProtection="1">
      <alignment horizontal="left"/>
      <protection hidden="1"/>
    </xf>
    <xf numFmtId="0" fontId="7" fillId="2" borderId="21" xfId="3" applyFill="1" applyBorder="1" applyAlignment="1" applyProtection="1">
      <alignment horizontal="left"/>
      <protection hidden="1"/>
    </xf>
    <xf numFmtId="0" fontId="12" fillId="0" borderId="0" xfId="0" applyFont="1" applyAlignment="1">
      <alignment horizontal="left" vertical="top" wrapText="1"/>
    </xf>
    <xf numFmtId="0" fontId="6" fillId="2" borderId="26" xfId="0" applyFont="1" applyFill="1" applyBorder="1" applyAlignment="1">
      <alignment horizontal="left"/>
    </xf>
    <xf numFmtId="0" fontId="6" fillId="2" borderId="9" xfId="0" applyFont="1" applyFill="1" applyBorder="1" applyAlignment="1">
      <alignment horizontal="left"/>
    </xf>
    <xf numFmtId="0" fontId="7" fillId="2" borderId="9" xfId="3" applyFill="1" applyBorder="1" applyAlignment="1" applyProtection="1">
      <alignment horizontal="left"/>
    </xf>
    <xf numFmtId="0" fontId="7" fillId="2" borderId="21" xfId="3" applyFill="1" applyBorder="1" applyAlignment="1" applyProtection="1">
      <alignment horizontal="left"/>
    </xf>
    <xf numFmtId="0" fontId="6" fillId="2" borderId="21" xfId="0" applyFont="1" applyFill="1" applyBorder="1" applyAlignment="1">
      <alignment horizontal="left"/>
    </xf>
    <xf numFmtId="0" fontId="4" fillId="0" borderId="0" xfId="0" applyFont="1" applyBorder="1" applyAlignment="1">
      <alignment horizontal="center" vertical="center"/>
    </xf>
    <xf numFmtId="0" fontId="6" fillId="2" borderId="1" xfId="0" applyFont="1" applyFill="1" applyBorder="1" applyAlignment="1">
      <alignment horizontal="left"/>
    </xf>
    <xf numFmtId="0" fontId="6" fillId="2" borderId="0" xfId="0" applyFont="1" applyFill="1" applyBorder="1" applyAlignment="1">
      <alignment horizontal="left"/>
    </xf>
    <xf numFmtId="0" fontId="6" fillId="2" borderId="12" xfId="0" applyFont="1" applyFill="1" applyBorder="1" applyAlignment="1">
      <alignment horizontal="left"/>
    </xf>
    <xf numFmtId="49" fontId="0" fillId="0" borderId="3" xfId="0" applyNumberFormat="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ont>
        <b/>
        <i val="0"/>
        <condense val="0"/>
        <extend val="0"/>
        <color indexed="10"/>
      </font>
    </dxf>
    <dxf>
      <font>
        <b/>
        <i val="0"/>
        <condense val="0"/>
        <extend val="0"/>
        <color indexed="17"/>
      </font>
    </dxf>
    <dxf>
      <font>
        <color auto="1"/>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fmlaLink="$O$7" noThreeD="1"/>
</file>

<file path=xl/ctrlProps/ctrlProp11.xml><?xml version="1.0" encoding="utf-8"?>
<formControlPr xmlns="http://schemas.microsoft.com/office/spreadsheetml/2009/9/main" objectType="CheckBox" fmlaLink="$O$8" noThreeD="1"/>
</file>

<file path=xl/ctrlProps/ctrlProp12.xml><?xml version="1.0" encoding="utf-8"?>
<formControlPr xmlns="http://schemas.microsoft.com/office/spreadsheetml/2009/9/main" objectType="CheckBox" fmlaLink="$O$22" noThreeD="1"/>
</file>

<file path=xl/ctrlProps/ctrlProp13.xml><?xml version="1.0" encoding="utf-8"?>
<formControlPr xmlns="http://schemas.microsoft.com/office/spreadsheetml/2009/9/main" objectType="CheckBox" fmlaLink="$O$23" noThreeD="1"/>
</file>

<file path=xl/ctrlProps/ctrlProp14.xml><?xml version="1.0" encoding="utf-8"?>
<formControlPr xmlns="http://schemas.microsoft.com/office/spreadsheetml/2009/9/main" objectType="CheckBox" fmlaLink="$O$21" noThreeD="1"/>
</file>

<file path=xl/ctrlProps/ctrlProp2.xml><?xml version="1.0" encoding="utf-8"?>
<formControlPr xmlns="http://schemas.microsoft.com/office/spreadsheetml/2009/9/main" objectType="Drop" dropLines="17" dropStyle="combo" dx="22" fmlaLink="$R$7" fmlaRange="'County Loan Limits'!$H$5:$H$243" sel="1" val="0"/>
</file>

<file path=xl/ctrlProps/ctrlProp3.xml><?xml version="1.0" encoding="utf-8"?>
<formControlPr xmlns="http://schemas.microsoft.com/office/spreadsheetml/2009/9/main" objectType="CheckBox" fmlaLink="$R$24" lockText="1" noThreeD="1"/>
</file>

<file path=xl/ctrlProps/ctrlProp4.xml><?xml version="1.0" encoding="utf-8"?>
<formControlPr xmlns="http://schemas.microsoft.com/office/spreadsheetml/2009/9/main" objectType="CheckBox" fmlaLink="$R$25"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fmlaLink="$R$23" lockText="1" noThreeD="1"/>
</file>

<file path=xl/ctrlProps/ctrlProp7.xml><?xml version="1.0" encoding="utf-8"?>
<formControlPr xmlns="http://schemas.microsoft.com/office/spreadsheetml/2009/9/main" objectType="Drop" dropLines="17" dropStyle="combo" dx="22" fmlaLink="$O$10" fmlaRange="'County Loan Limits'!$H$5:$H$243" sel="1" val="0"/>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fmlaLink="$O$5"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76200</xdr:colOff>
          <xdr:row>1</xdr:row>
          <xdr:rowOff>0</xdr:rowOff>
        </xdr:from>
        <xdr:to>
          <xdr:col>20</xdr:col>
          <xdr:colOff>66675</xdr:colOff>
          <xdr:row>3</xdr:row>
          <xdr:rowOff>9525</xdr:rowOff>
        </xdr:to>
        <xdr:sp macro="" textlink="">
          <xdr:nvSpPr>
            <xdr:cNvPr id="3075" name="Button 3" descr="Clear All Values"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Clear All Values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47</xdr:row>
      <xdr:rowOff>114300</xdr:rowOff>
    </xdr:from>
    <xdr:to>
      <xdr:col>10</xdr:col>
      <xdr:colOff>923925</xdr:colOff>
      <xdr:row>60</xdr:row>
      <xdr:rowOff>0</xdr:rowOff>
    </xdr:to>
    <xdr:pic>
      <xdr:nvPicPr>
        <xdr:cNvPr id="1894" name="Picture 60">
          <a:extLst>
            <a:ext uri="{FF2B5EF4-FFF2-40B4-BE49-F238E27FC236}">
              <a16:creationId xmlns:a16="http://schemas.microsoft.com/office/drawing/2014/main" id="{00000000-0008-0000-01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7239000"/>
          <a:ext cx="62769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6</xdr:col>
      <xdr:colOff>374015</xdr:colOff>
      <xdr:row>73</xdr:row>
      <xdr:rowOff>0</xdr:rowOff>
    </xdr:from>
    <xdr:to>
      <xdr:col>6</xdr:col>
      <xdr:colOff>645942</xdr:colOff>
      <xdr:row>78</xdr:row>
      <xdr:rowOff>50800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89150" y="10915650"/>
          <a:ext cx="2540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8</xdr:col>
          <xdr:colOff>1295400</xdr:colOff>
          <xdr:row>7</xdr:row>
          <xdr:rowOff>38100</xdr:rowOff>
        </xdr:from>
        <xdr:to>
          <xdr:col>13</xdr:col>
          <xdr:colOff>161925</xdr:colOff>
          <xdr:row>7</xdr:row>
          <xdr:rowOff>219075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161925</xdr:rowOff>
        </xdr:from>
        <xdr:to>
          <xdr:col>2</xdr:col>
          <xdr:colOff>238125</xdr:colOff>
          <xdr:row>25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161925</xdr:rowOff>
        </xdr:from>
        <xdr:to>
          <xdr:col>2</xdr:col>
          <xdr:colOff>257175</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1</xdr:row>
          <xdr:rowOff>9525</xdr:rowOff>
        </xdr:from>
        <xdr:to>
          <xdr:col>18</xdr:col>
          <xdr:colOff>266700</xdr:colOff>
          <xdr:row>3</xdr:row>
          <xdr:rowOff>38100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Clear All Values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2</xdr:col>
          <xdr:colOff>238125</xdr:colOff>
          <xdr:row>24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41</xdr:row>
      <xdr:rowOff>123825</xdr:rowOff>
    </xdr:from>
    <xdr:to>
      <xdr:col>10</xdr:col>
      <xdr:colOff>485775</xdr:colOff>
      <xdr:row>49</xdr:row>
      <xdr:rowOff>38100</xdr:rowOff>
    </xdr:to>
    <xdr:pic>
      <xdr:nvPicPr>
        <xdr:cNvPr id="7818" name="Picture 7">
          <a:extLst>
            <a:ext uri="{FF2B5EF4-FFF2-40B4-BE49-F238E27FC236}">
              <a16:creationId xmlns:a16="http://schemas.microsoft.com/office/drawing/2014/main" id="{00000000-0008-0000-0200-00008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238875"/>
          <a:ext cx="62674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1657350</xdr:colOff>
      <xdr:row>61</xdr:row>
      <xdr:rowOff>123825</xdr:rowOff>
    </xdr:from>
    <xdr:to>
      <xdr:col>8</xdr:col>
      <xdr:colOff>1828800</xdr:colOff>
      <xdr:row>63</xdr:row>
      <xdr:rowOff>9525</xdr:rowOff>
    </xdr:to>
    <xdr:pic>
      <xdr:nvPicPr>
        <xdr:cNvPr id="7819" name="Picture 6" descr="EH">
          <a:extLst>
            <a:ext uri="{FF2B5EF4-FFF2-40B4-BE49-F238E27FC236}">
              <a16:creationId xmlns:a16="http://schemas.microsoft.com/office/drawing/2014/main" id="{00000000-0008-0000-0200-00008B1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67350" y="9096375"/>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1133475</xdr:colOff>
          <xdr:row>10</xdr:row>
          <xdr:rowOff>47625</xdr:rowOff>
        </xdr:from>
        <xdr:to>
          <xdr:col>11</xdr:col>
          <xdr:colOff>0</xdr:colOff>
          <xdr:row>10</xdr:row>
          <xdr:rowOff>228600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xdr:row>
          <xdr:rowOff>57150</xdr:rowOff>
        </xdr:from>
        <xdr:to>
          <xdr:col>14</xdr:col>
          <xdr:colOff>400050</xdr:colOff>
          <xdr:row>3</xdr:row>
          <xdr:rowOff>95250</xdr:rowOff>
        </xdr:to>
        <xdr:sp macro="" textlink="">
          <xdr:nvSpPr>
            <xdr:cNvPr id="2060" name="Butto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Clear All Values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28575</xdr:rowOff>
        </xdr:from>
        <xdr:to>
          <xdr:col>2</xdr:col>
          <xdr:colOff>247650</xdr:colOff>
          <xdr:row>5</xdr:row>
          <xdr:rowOff>19050</xdr:rowOff>
        </xdr:to>
        <xdr:sp macro="" textlink="">
          <xdr:nvSpPr>
            <xdr:cNvPr id="7652" name="Check Box 1508" hidden="1">
              <a:extLst>
                <a:ext uri="{63B3BB69-23CF-44E3-9099-C40C66FF867C}">
                  <a14:compatExt spid="_x0000_s7652"/>
                </a:ext>
                <a:ext uri="{FF2B5EF4-FFF2-40B4-BE49-F238E27FC236}">
                  <a16:creationId xmlns:a16="http://schemas.microsoft.com/office/drawing/2014/main" id="{00000000-0008-0000-0200-0000E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228600</xdr:colOff>
          <xdr:row>6</xdr:row>
          <xdr:rowOff>133350</xdr:rowOff>
        </xdr:to>
        <xdr:sp macro="" textlink="">
          <xdr:nvSpPr>
            <xdr:cNvPr id="7653" name="Check Box 1509" hidden="1">
              <a:extLst>
                <a:ext uri="{63B3BB69-23CF-44E3-9099-C40C66FF867C}">
                  <a14:compatExt spid="_x0000_s7653"/>
                </a:ext>
                <a:ext uri="{FF2B5EF4-FFF2-40B4-BE49-F238E27FC236}">
                  <a16:creationId xmlns:a16="http://schemas.microsoft.com/office/drawing/2014/main" id="{00000000-0008-0000-0200-0000E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228600</xdr:colOff>
          <xdr:row>8</xdr:row>
          <xdr:rowOff>19050</xdr:rowOff>
        </xdr:to>
        <xdr:sp macro="" textlink="">
          <xdr:nvSpPr>
            <xdr:cNvPr id="7654" name="Check Box 1510" hidden="1">
              <a:extLst>
                <a:ext uri="{63B3BB69-23CF-44E3-9099-C40C66FF867C}">
                  <a14:compatExt spid="_x0000_s7654"/>
                </a:ext>
                <a:ext uri="{FF2B5EF4-FFF2-40B4-BE49-F238E27FC236}">
                  <a16:creationId xmlns:a16="http://schemas.microsoft.com/office/drawing/2014/main" id="{00000000-0008-0000-0200-0000E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161925</xdr:rowOff>
        </xdr:from>
        <xdr:to>
          <xdr:col>2</xdr:col>
          <xdr:colOff>228600</xdr:colOff>
          <xdr:row>22</xdr:row>
          <xdr:rowOff>0</xdr:rowOff>
        </xdr:to>
        <xdr:sp macro="" textlink="">
          <xdr:nvSpPr>
            <xdr:cNvPr id="7707" name="Check Box 1563" hidden="1">
              <a:extLst>
                <a:ext uri="{63B3BB69-23CF-44E3-9099-C40C66FF867C}">
                  <a14:compatExt spid="_x0000_s7707"/>
                </a:ext>
                <a:ext uri="{FF2B5EF4-FFF2-40B4-BE49-F238E27FC236}">
                  <a16:creationId xmlns:a16="http://schemas.microsoft.com/office/drawing/2014/main" id="{00000000-0008-0000-0200-00001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161925</xdr:rowOff>
        </xdr:from>
        <xdr:to>
          <xdr:col>2</xdr:col>
          <xdr:colOff>257175</xdr:colOff>
          <xdr:row>23</xdr:row>
          <xdr:rowOff>0</xdr:rowOff>
        </xdr:to>
        <xdr:sp macro="" textlink="">
          <xdr:nvSpPr>
            <xdr:cNvPr id="7708" name="Check Box 1564" hidden="1">
              <a:extLst>
                <a:ext uri="{63B3BB69-23CF-44E3-9099-C40C66FF867C}">
                  <a14:compatExt spid="_x0000_s7708"/>
                </a:ext>
                <a:ext uri="{FF2B5EF4-FFF2-40B4-BE49-F238E27FC236}">
                  <a16:creationId xmlns:a16="http://schemas.microsoft.com/office/drawing/2014/main" id="{00000000-0008-0000-0200-00001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2</xdr:col>
          <xdr:colOff>228600</xdr:colOff>
          <xdr:row>21</xdr:row>
          <xdr:rowOff>0</xdr:rowOff>
        </xdr:to>
        <xdr:sp macro="" textlink="">
          <xdr:nvSpPr>
            <xdr:cNvPr id="7709" name="Check Box 1565" hidden="1">
              <a:extLst>
                <a:ext uri="{63B3BB69-23CF-44E3-9099-C40C66FF867C}">
                  <a14:compatExt spid="_x0000_s7709"/>
                </a:ext>
                <a:ext uri="{FF2B5EF4-FFF2-40B4-BE49-F238E27FC236}">
                  <a16:creationId xmlns:a16="http://schemas.microsoft.com/office/drawing/2014/main" id="{00000000-0008-0000-0200-00001D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drawing" Target="../drawings/drawing2.xml"/><Relationship Id="rId7" Type="http://schemas.openxmlformats.org/officeDocument/2006/relationships/ctrlProp" Target="../ctrlProps/ctrlProp4.xml"/><Relationship Id="rId2" Type="http://schemas.openxmlformats.org/officeDocument/2006/relationships/printerSettings" Target="../printerSettings/printerSettings2.bin"/><Relationship Id="rId1" Type="http://schemas.openxmlformats.org/officeDocument/2006/relationships/hyperlink" Target="http://www.benefits.va.gov/HOMELOANS/documents/circulars/26_11_19.pdf" TargetMode="Externa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2.v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3.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3.bin"/><Relationship Id="rId1" Type="http://schemas.openxmlformats.org/officeDocument/2006/relationships/hyperlink" Target="http://www.benefits.va.gov/HOMELOANS/documents/circulars/26_11_19.pdf"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3.v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9" tint="-0.249977111117893"/>
    <pageSetUpPr fitToPage="1"/>
  </sheetPr>
  <dimension ref="A1:U95"/>
  <sheetViews>
    <sheetView showGridLines="0" tabSelected="1" topLeftCell="A16" zoomScaleNormal="100" workbookViewId="0">
      <selection activeCell="C43" sqref="C43:D43"/>
    </sheetView>
  </sheetViews>
  <sheetFormatPr defaultRowHeight="11.25" x14ac:dyDescent="0.2"/>
  <cols>
    <col min="1" max="1" width="1.83203125" style="45" customWidth="1"/>
    <col min="2" max="2" width="12.5" style="45" hidden="1" customWidth="1"/>
    <col min="3" max="3" width="9.33203125" style="45"/>
    <col min="4" max="4" width="4.1640625" style="45" customWidth="1"/>
    <col min="5" max="5" width="8.33203125" style="45" customWidth="1"/>
    <col min="6" max="12" width="9.33203125" style="45"/>
    <col min="13" max="13" width="12.33203125" style="45" customWidth="1"/>
    <col min="14" max="14" width="5.33203125" style="45" customWidth="1"/>
    <col min="15" max="16" width="9.33203125" style="45"/>
    <col min="17" max="17" width="1.83203125" style="45" customWidth="1"/>
    <col min="18" max="16384" width="9.33203125" style="45"/>
  </cols>
  <sheetData>
    <row r="1" spans="3:16" ht="16.5" thickBot="1" x14ac:dyDescent="0.25">
      <c r="C1" s="302" t="s">
        <v>544</v>
      </c>
      <c r="D1" s="302"/>
      <c r="E1" s="302"/>
      <c r="F1" s="302"/>
      <c r="G1" s="302"/>
      <c r="H1" s="302"/>
      <c r="I1" s="302"/>
      <c r="J1" s="302"/>
      <c r="K1" s="302"/>
      <c r="L1" s="302"/>
      <c r="M1" s="302"/>
      <c r="N1" s="302"/>
      <c r="O1" s="302"/>
      <c r="P1" s="302"/>
    </row>
    <row r="2" spans="3:16" x14ac:dyDescent="0.2">
      <c r="C2" s="319" t="s">
        <v>337</v>
      </c>
      <c r="D2" s="320"/>
      <c r="E2" s="320"/>
      <c r="F2" s="320"/>
      <c r="G2" s="320"/>
      <c r="H2" s="320"/>
      <c r="I2" s="320"/>
      <c r="J2" s="320"/>
      <c r="K2" s="320"/>
      <c r="L2" s="320"/>
      <c r="M2" s="320"/>
      <c r="N2" s="320"/>
      <c r="O2" s="320"/>
      <c r="P2" s="321"/>
    </row>
    <row r="3" spans="3:16" x14ac:dyDescent="0.2">
      <c r="C3" s="322"/>
      <c r="D3" s="323"/>
      <c r="E3" s="323"/>
      <c r="F3" s="323"/>
      <c r="G3" s="323"/>
      <c r="H3" s="323"/>
      <c r="I3" s="323"/>
      <c r="J3" s="323"/>
      <c r="K3" s="323"/>
      <c r="L3" s="323"/>
      <c r="M3" s="323"/>
      <c r="N3" s="323"/>
      <c r="O3" s="323"/>
      <c r="P3" s="324"/>
    </row>
    <row r="4" spans="3:16" x14ac:dyDescent="0.2">
      <c r="C4" s="322"/>
      <c r="D4" s="323"/>
      <c r="E4" s="323"/>
      <c r="F4" s="323"/>
      <c r="G4" s="323"/>
      <c r="H4" s="323"/>
      <c r="I4" s="323"/>
      <c r="J4" s="323"/>
      <c r="K4" s="323"/>
      <c r="L4" s="323"/>
      <c r="M4" s="323"/>
      <c r="N4" s="323"/>
      <c r="O4" s="323"/>
      <c r="P4" s="324"/>
    </row>
    <row r="5" spans="3:16" x14ac:dyDescent="0.2">
      <c r="C5" s="322"/>
      <c r="D5" s="323"/>
      <c r="E5" s="323"/>
      <c r="F5" s="323"/>
      <c r="G5" s="323"/>
      <c r="H5" s="323"/>
      <c r="I5" s="323"/>
      <c r="J5" s="323"/>
      <c r="K5" s="323"/>
      <c r="L5" s="323"/>
      <c r="M5" s="323"/>
      <c r="N5" s="323"/>
      <c r="O5" s="323"/>
      <c r="P5" s="324"/>
    </row>
    <row r="6" spans="3:16" x14ac:dyDescent="0.2">
      <c r="C6" s="322"/>
      <c r="D6" s="323"/>
      <c r="E6" s="323"/>
      <c r="F6" s="323"/>
      <c r="G6" s="323"/>
      <c r="H6" s="323"/>
      <c r="I6" s="323"/>
      <c r="J6" s="323"/>
      <c r="K6" s="323"/>
      <c r="L6" s="323"/>
      <c r="M6" s="323"/>
      <c r="N6" s="323"/>
      <c r="O6" s="323"/>
      <c r="P6" s="324"/>
    </row>
    <row r="7" spans="3:16" ht="5.25" customHeight="1" x14ac:dyDescent="0.2">
      <c r="C7" s="134"/>
      <c r="D7" s="135"/>
      <c r="E7" s="135"/>
      <c r="F7" s="135"/>
      <c r="G7" s="135"/>
      <c r="H7" s="135"/>
      <c r="I7" s="135"/>
      <c r="J7" s="135"/>
      <c r="K7" s="135"/>
      <c r="L7" s="135"/>
      <c r="M7" s="135"/>
      <c r="N7" s="135"/>
      <c r="O7" s="135"/>
      <c r="P7" s="136"/>
    </row>
    <row r="8" spans="3:16" x14ac:dyDescent="0.2">
      <c r="C8" s="325" t="s">
        <v>338</v>
      </c>
      <c r="D8" s="326"/>
      <c r="E8" s="326"/>
      <c r="F8" s="326"/>
      <c r="G8" s="326"/>
      <c r="H8" s="326"/>
      <c r="I8" s="326"/>
      <c r="J8" s="326"/>
      <c r="K8" s="326"/>
      <c r="L8" s="326"/>
      <c r="M8" s="326"/>
      <c r="N8" s="326"/>
      <c r="O8" s="326"/>
      <c r="P8" s="327"/>
    </row>
    <row r="9" spans="3:16" x14ac:dyDescent="0.2">
      <c r="C9" s="325"/>
      <c r="D9" s="326"/>
      <c r="E9" s="326"/>
      <c r="F9" s="326"/>
      <c r="G9" s="326"/>
      <c r="H9" s="326"/>
      <c r="I9" s="326"/>
      <c r="J9" s="326"/>
      <c r="K9" s="326"/>
      <c r="L9" s="326"/>
      <c r="M9" s="326"/>
      <c r="N9" s="326"/>
      <c r="O9" s="326"/>
      <c r="P9" s="327"/>
    </row>
    <row r="10" spans="3:16" x14ac:dyDescent="0.2">
      <c r="C10" s="325"/>
      <c r="D10" s="326"/>
      <c r="E10" s="326"/>
      <c r="F10" s="326"/>
      <c r="G10" s="326"/>
      <c r="H10" s="326"/>
      <c r="I10" s="326"/>
      <c r="J10" s="326"/>
      <c r="K10" s="326"/>
      <c r="L10" s="326"/>
      <c r="M10" s="326"/>
      <c r="N10" s="326"/>
      <c r="O10" s="326"/>
      <c r="P10" s="327"/>
    </row>
    <row r="11" spans="3:16" x14ac:dyDescent="0.2">
      <c r="C11" s="325"/>
      <c r="D11" s="326"/>
      <c r="E11" s="326"/>
      <c r="F11" s="326"/>
      <c r="G11" s="326"/>
      <c r="H11" s="326"/>
      <c r="I11" s="326"/>
      <c r="J11" s="326"/>
      <c r="K11" s="326"/>
      <c r="L11" s="326"/>
      <c r="M11" s="326"/>
      <c r="N11" s="326"/>
      <c r="O11" s="326"/>
      <c r="P11" s="327"/>
    </row>
    <row r="12" spans="3:16" x14ac:dyDescent="0.2">
      <c r="C12" s="325"/>
      <c r="D12" s="326"/>
      <c r="E12" s="326"/>
      <c r="F12" s="326"/>
      <c r="G12" s="326"/>
      <c r="H12" s="326"/>
      <c r="I12" s="326"/>
      <c r="J12" s="326"/>
      <c r="K12" s="326"/>
      <c r="L12" s="326"/>
      <c r="M12" s="326"/>
      <c r="N12" s="326"/>
      <c r="O12" s="326"/>
      <c r="P12" s="327"/>
    </row>
    <row r="13" spans="3:16" x14ac:dyDescent="0.2">
      <c r="C13" s="325"/>
      <c r="D13" s="326"/>
      <c r="E13" s="326"/>
      <c r="F13" s="326"/>
      <c r="G13" s="326"/>
      <c r="H13" s="326"/>
      <c r="I13" s="326"/>
      <c r="J13" s="326"/>
      <c r="K13" s="326"/>
      <c r="L13" s="326"/>
      <c r="M13" s="326"/>
      <c r="N13" s="326"/>
      <c r="O13" s="326"/>
      <c r="P13" s="327"/>
    </row>
    <row r="14" spans="3:16" ht="3" customHeight="1" x14ac:dyDescent="0.2">
      <c r="C14" s="108"/>
      <c r="D14" s="109"/>
      <c r="E14" s="109"/>
      <c r="F14" s="109"/>
      <c r="G14" s="109"/>
      <c r="H14" s="109"/>
      <c r="I14" s="109"/>
      <c r="J14" s="109"/>
      <c r="K14" s="109"/>
      <c r="L14" s="109"/>
      <c r="M14" s="109"/>
      <c r="N14" s="109"/>
      <c r="O14" s="109"/>
      <c r="P14" s="110"/>
    </row>
    <row r="15" spans="3:16" ht="11.25" customHeight="1" x14ac:dyDescent="0.2">
      <c r="C15" s="303" t="s">
        <v>335</v>
      </c>
      <c r="D15" s="304"/>
      <c r="E15" s="304"/>
      <c r="F15" s="304"/>
      <c r="G15" s="304"/>
      <c r="H15" s="304"/>
      <c r="I15" s="304"/>
      <c r="J15" s="304"/>
      <c r="K15" s="304"/>
      <c r="L15" s="305"/>
      <c r="M15" s="309" t="s">
        <v>336</v>
      </c>
      <c r="N15" s="310"/>
      <c r="O15" s="310"/>
      <c r="P15" s="311"/>
    </row>
    <row r="16" spans="3:16" ht="15" customHeight="1" x14ac:dyDescent="0.2">
      <c r="C16" s="306"/>
      <c r="D16" s="307"/>
      <c r="E16" s="307"/>
      <c r="F16" s="307"/>
      <c r="G16" s="307"/>
      <c r="H16" s="307"/>
      <c r="I16" s="307"/>
      <c r="J16" s="307"/>
      <c r="K16" s="307"/>
      <c r="L16" s="308"/>
      <c r="M16" s="312"/>
      <c r="N16" s="313"/>
      <c r="O16" s="313"/>
      <c r="P16" s="314"/>
    </row>
    <row r="17" spans="1:20" x14ac:dyDescent="0.2">
      <c r="C17" s="299" t="s">
        <v>319</v>
      </c>
      <c r="D17" s="300"/>
      <c r="E17" s="300"/>
      <c r="F17" s="300"/>
      <c r="G17" s="300"/>
      <c r="H17" s="300"/>
      <c r="I17" s="300"/>
      <c r="J17" s="300"/>
      <c r="K17" s="300"/>
      <c r="L17" s="300"/>
      <c r="M17" s="300"/>
      <c r="N17" s="300"/>
      <c r="O17" s="300"/>
      <c r="P17" s="301"/>
    </row>
    <row r="18" spans="1:20" x14ac:dyDescent="0.2">
      <c r="C18" s="112" t="s">
        <v>329</v>
      </c>
      <c r="D18" s="310" t="s">
        <v>330</v>
      </c>
      <c r="E18" s="310"/>
      <c r="F18" s="310"/>
      <c r="G18" s="310"/>
      <c r="H18" s="310"/>
      <c r="I18" s="310"/>
      <c r="J18" s="310"/>
      <c r="K18" s="310"/>
      <c r="L18" s="310"/>
      <c r="M18" s="310"/>
      <c r="N18" s="310"/>
      <c r="O18" s="309" t="s">
        <v>331</v>
      </c>
      <c r="P18" s="311"/>
      <c r="T18" s="262"/>
    </row>
    <row r="19" spans="1:20" ht="15" customHeight="1" x14ac:dyDescent="0.2">
      <c r="C19" s="113">
        <v>1</v>
      </c>
      <c r="D19" s="114" t="s">
        <v>313</v>
      </c>
      <c r="E19" s="54"/>
      <c r="F19" s="54"/>
      <c r="G19" s="54"/>
      <c r="H19" s="54"/>
      <c r="I19" s="54"/>
      <c r="J19" s="54"/>
      <c r="K19" s="54"/>
      <c r="L19" s="54"/>
      <c r="M19" s="54"/>
      <c r="N19" s="78"/>
      <c r="O19" s="328">
        <v>0</v>
      </c>
      <c r="P19" s="329"/>
    </row>
    <row r="20" spans="1:20" ht="15" customHeight="1" x14ac:dyDescent="0.2">
      <c r="C20" s="113">
        <v>2</v>
      </c>
      <c r="D20" s="115" t="s">
        <v>320</v>
      </c>
      <c r="E20" s="54"/>
      <c r="F20" s="54"/>
      <c r="G20" s="54"/>
      <c r="H20" s="54"/>
      <c r="I20" s="54"/>
      <c r="J20" s="54"/>
      <c r="K20" s="54"/>
      <c r="L20" s="54"/>
      <c r="M20" s="54"/>
      <c r="N20" s="78" t="s">
        <v>11</v>
      </c>
      <c r="O20" s="290">
        <v>0</v>
      </c>
      <c r="P20" s="291"/>
    </row>
    <row r="21" spans="1:20" ht="15" customHeight="1" x14ac:dyDescent="0.2">
      <c r="C21" s="113">
        <v>3</v>
      </c>
      <c r="D21" s="116" t="s">
        <v>314</v>
      </c>
      <c r="E21" s="54"/>
      <c r="F21" s="54"/>
      <c r="G21" s="54"/>
      <c r="H21" s="54"/>
      <c r="I21" s="54"/>
      <c r="J21" s="54"/>
      <c r="K21" s="54"/>
      <c r="L21" s="54"/>
      <c r="M21" s="54"/>
      <c r="N21" s="117"/>
      <c r="O21" s="292">
        <f>ROUNDDOWN(O19-O20,0)</f>
        <v>0</v>
      </c>
      <c r="P21" s="293"/>
      <c r="T21" s="262"/>
    </row>
    <row r="22" spans="1:20" x14ac:dyDescent="0.2">
      <c r="C22" s="299" t="s">
        <v>321</v>
      </c>
      <c r="D22" s="300"/>
      <c r="E22" s="300"/>
      <c r="F22" s="300"/>
      <c r="G22" s="300"/>
      <c r="H22" s="300"/>
      <c r="I22" s="300"/>
      <c r="J22" s="300"/>
      <c r="K22" s="300"/>
      <c r="L22" s="300"/>
      <c r="M22" s="300"/>
      <c r="N22" s="300"/>
      <c r="O22" s="300"/>
      <c r="P22" s="301"/>
    </row>
    <row r="23" spans="1:20" ht="15" customHeight="1" x14ac:dyDescent="0.2">
      <c r="C23" s="113">
        <v>4</v>
      </c>
      <c r="D23" s="115" t="s">
        <v>315</v>
      </c>
      <c r="E23" s="54"/>
      <c r="F23" s="54"/>
      <c r="G23" s="54"/>
      <c r="H23" s="54"/>
      <c r="I23" s="54"/>
      <c r="J23" s="54"/>
      <c r="K23" s="54"/>
      <c r="L23" s="54"/>
      <c r="M23" s="54"/>
      <c r="N23" s="78"/>
      <c r="O23" s="288">
        <f>ROUNDDOWN(O21,0)</f>
        <v>0</v>
      </c>
      <c r="P23" s="289"/>
    </row>
    <row r="24" spans="1:20" ht="15" customHeight="1" x14ac:dyDescent="0.2">
      <c r="C24" s="113">
        <v>5</v>
      </c>
      <c r="D24" s="118" t="s">
        <v>316</v>
      </c>
      <c r="E24" s="261"/>
      <c r="F24" s="115" t="s">
        <v>322</v>
      </c>
      <c r="G24" s="54"/>
      <c r="H24" s="54"/>
      <c r="I24" s="54"/>
      <c r="J24" s="54"/>
      <c r="K24" s="54"/>
      <c r="L24" s="54"/>
      <c r="M24" s="54"/>
      <c r="N24" s="78" t="s">
        <v>317</v>
      </c>
      <c r="O24" s="269">
        <f>IF(E24&gt;2,ROUNDDOWN(O$23*(2/100),0),ROUNDDOWN(O$23*(E24/100),0))</f>
        <v>0</v>
      </c>
      <c r="P24" s="270"/>
      <c r="S24" s="263"/>
    </row>
    <row r="25" spans="1:20" ht="15" customHeight="1" x14ac:dyDescent="0.2">
      <c r="C25" s="113">
        <v>6</v>
      </c>
      <c r="D25" s="118" t="s">
        <v>316</v>
      </c>
      <c r="E25" s="261"/>
      <c r="F25" s="115" t="s">
        <v>381</v>
      </c>
      <c r="G25" s="54"/>
      <c r="H25" s="54"/>
      <c r="I25" s="54"/>
      <c r="J25" s="54"/>
      <c r="K25" s="54"/>
      <c r="L25" s="54"/>
      <c r="M25" s="54"/>
      <c r="N25" s="78" t="s">
        <v>317</v>
      </c>
      <c r="O25" s="269">
        <f>ROUNDDOWN(O$23*(E25/100),0)</f>
        <v>0</v>
      </c>
      <c r="P25" s="270"/>
    </row>
    <row r="26" spans="1:20" ht="15" customHeight="1" x14ac:dyDescent="0.2">
      <c r="C26" s="113">
        <v>7</v>
      </c>
      <c r="D26" s="118" t="s">
        <v>316</v>
      </c>
      <c r="E26" s="261"/>
      <c r="F26" s="115" t="s">
        <v>382</v>
      </c>
      <c r="G26" s="54"/>
      <c r="H26" s="54"/>
      <c r="I26" s="54"/>
      <c r="J26" s="54"/>
      <c r="K26" s="54"/>
      <c r="L26" s="54"/>
      <c r="M26" s="54"/>
      <c r="N26" s="78" t="s">
        <v>317</v>
      </c>
      <c r="O26" s="269">
        <f>(O$23*(E26/100))</f>
        <v>0</v>
      </c>
      <c r="P26" s="270"/>
    </row>
    <row r="27" spans="1:20" ht="15" customHeight="1" x14ac:dyDescent="0.2">
      <c r="C27" s="113">
        <v>8</v>
      </c>
      <c r="D27" s="118" t="s">
        <v>318</v>
      </c>
      <c r="E27" s="54"/>
      <c r="F27" s="54"/>
      <c r="G27" s="54"/>
      <c r="H27" s="54"/>
      <c r="I27" s="54"/>
      <c r="J27" s="54"/>
      <c r="K27" s="54"/>
      <c r="L27" s="54"/>
      <c r="M27" s="54"/>
      <c r="N27" s="78" t="s">
        <v>317</v>
      </c>
      <c r="O27" s="290">
        <v>0</v>
      </c>
      <c r="P27" s="291"/>
    </row>
    <row r="28" spans="1:20" ht="15" customHeight="1" x14ac:dyDescent="0.2">
      <c r="C28" s="113">
        <v>9</v>
      </c>
      <c r="D28" s="116" t="s">
        <v>314</v>
      </c>
      <c r="E28" s="54"/>
      <c r="F28" s="54"/>
      <c r="G28" s="54"/>
      <c r="H28" s="54"/>
      <c r="I28" s="54"/>
      <c r="J28" s="54"/>
      <c r="K28" s="54"/>
      <c r="L28" s="54"/>
      <c r="M28" s="54"/>
      <c r="N28" s="117"/>
      <c r="O28" s="292">
        <f>ROUNDDOWN(SUM(O23:P27),0)</f>
        <v>0</v>
      </c>
      <c r="P28" s="293"/>
    </row>
    <row r="29" spans="1:20" x14ac:dyDescent="0.2">
      <c r="A29" s="72"/>
      <c r="C29" s="299" t="s">
        <v>323</v>
      </c>
      <c r="D29" s="300"/>
      <c r="E29" s="300"/>
      <c r="F29" s="300"/>
      <c r="G29" s="300"/>
      <c r="H29" s="300"/>
      <c r="I29" s="300"/>
      <c r="J29" s="300"/>
      <c r="K29" s="300"/>
      <c r="L29" s="300"/>
      <c r="M29" s="300"/>
      <c r="N29" s="300"/>
      <c r="O29" s="300"/>
      <c r="P29" s="301"/>
    </row>
    <row r="30" spans="1:20" ht="15" customHeight="1" x14ac:dyDescent="0.2">
      <c r="A30" s="72"/>
      <c r="C30" s="119">
        <v>10</v>
      </c>
      <c r="D30" s="120" t="s">
        <v>324</v>
      </c>
      <c r="E30" s="111"/>
      <c r="F30" s="121"/>
      <c r="G30" s="111"/>
      <c r="H30" s="111"/>
      <c r="I30" s="111"/>
      <c r="J30" s="111"/>
      <c r="K30" s="111"/>
      <c r="L30" s="111"/>
      <c r="M30" s="111"/>
      <c r="N30" s="78"/>
      <c r="O30" s="288">
        <f>O28</f>
        <v>0</v>
      </c>
      <c r="P30" s="289"/>
    </row>
    <row r="31" spans="1:20" ht="15" customHeight="1" x14ac:dyDescent="0.2">
      <c r="A31" s="72"/>
      <c r="C31" s="122">
        <v>11</v>
      </c>
      <c r="D31" s="118" t="s">
        <v>316</v>
      </c>
      <c r="E31" s="150">
        <f>E24</f>
        <v>0</v>
      </c>
      <c r="F31" s="115" t="s">
        <v>386</v>
      </c>
      <c r="G31" s="54"/>
      <c r="H31" s="54"/>
      <c r="I31" s="54"/>
      <c r="J31" s="54"/>
      <c r="K31" s="54"/>
      <c r="L31" s="54"/>
      <c r="M31" s="54"/>
      <c r="N31" s="78" t="s">
        <v>317</v>
      </c>
      <c r="O31" s="269">
        <f>ROUNDDOWN(O$30*(E31/100),0)</f>
        <v>0</v>
      </c>
      <c r="P31" s="270"/>
    </row>
    <row r="32" spans="1:20" ht="15" customHeight="1" x14ac:dyDescent="0.2">
      <c r="A32" s="72"/>
      <c r="C32" s="122">
        <v>12</v>
      </c>
      <c r="D32" s="123" t="s">
        <v>325</v>
      </c>
      <c r="E32" s="54"/>
      <c r="F32" s="124"/>
      <c r="G32" s="54"/>
      <c r="H32" s="54"/>
      <c r="I32" s="54"/>
      <c r="J32" s="54"/>
      <c r="K32" s="54"/>
      <c r="L32" s="54"/>
      <c r="M32" s="54"/>
      <c r="N32" s="78" t="s">
        <v>10</v>
      </c>
      <c r="O32" s="288">
        <f>ROUNDDOWN(O30+O31,0)</f>
        <v>0</v>
      </c>
      <c r="P32" s="289"/>
    </row>
    <row r="33" spans="1:21" ht="15" customHeight="1" x14ac:dyDescent="0.2">
      <c r="A33" s="72"/>
      <c r="C33" s="122">
        <v>13</v>
      </c>
      <c r="D33" s="118" t="s">
        <v>326</v>
      </c>
      <c r="E33" s="54"/>
      <c r="F33" s="124"/>
      <c r="G33" s="54"/>
      <c r="H33" s="54"/>
      <c r="I33" s="54"/>
      <c r="J33" s="54"/>
      <c r="K33" s="54"/>
      <c r="L33" s="54"/>
      <c r="M33" s="54"/>
      <c r="N33" s="125" t="s">
        <v>11</v>
      </c>
      <c r="O33" s="288">
        <f>ROUNDDOWN(O24,0)</f>
        <v>0</v>
      </c>
      <c r="P33" s="289"/>
      <c r="U33" s="262"/>
    </row>
    <row r="34" spans="1:21" ht="15" customHeight="1" x14ac:dyDescent="0.2">
      <c r="C34" s="122">
        <v>14</v>
      </c>
      <c r="D34" s="123" t="s">
        <v>325</v>
      </c>
      <c r="E34" s="54"/>
      <c r="F34" s="124"/>
      <c r="G34" s="54"/>
      <c r="H34" s="54"/>
      <c r="I34" s="54"/>
      <c r="J34" s="54"/>
      <c r="K34" s="54"/>
      <c r="L34" s="54"/>
      <c r="M34" s="54"/>
      <c r="N34" s="78" t="s">
        <v>10</v>
      </c>
      <c r="O34" s="288">
        <f>ROUNDDOWN(O32-O33,0)</f>
        <v>0</v>
      </c>
      <c r="P34" s="289"/>
    </row>
    <row r="35" spans="1:21" ht="15" customHeight="1" x14ac:dyDescent="0.2">
      <c r="A35" s="72"/>
      <c r="C35" s="122">
        <v>15</v>
      </c>
      <c r="D35" s="118" t="s">
        <v>327</v>
      </c>
      <c r="E35" s="54"/>
      <c r="F35" s="124"/>
      <c r="G35" s="54"/>
      <c r="H35" s="54"/>
      <c r="I35" s="54"/>
      <c r="J35" s="54"/>
      <c r="K35" s="54"/>
      <c r="L35" s="54"/>
      <c r="M35" s="54"/>
      <c r="N35" s="125" t="s">
        <v>11</v>
      </c>
      <c r="O35" s="288">
        <f>ROUNDDOWN(O26,0)</f>
        <v>0</v>
      </c>
      <c r="P35" s="289"/>
    </row>
    <row r="36" spans="1:21" ht="15" customHeight="1" x14ac:dyDescent="0.2">
      <c r="A36" s="72"/>
      <c r="C36" s="122">
        <v>16</v>
      </c>
      <c r="D36" s="123" t="s">
        <v>325</v>
      </c>
      <c r="E36" s="54"/>
      <c r="F36" s="124"/>
      <c r="G36" s="54"/>
      <c r="H36" s="54"/>
      <c r="I36" s="54"/>
      <c r="J36" s="54"/>
      <c r="K36" s="54"/>
      <c r="L36" s="54"/>
      <c r="M36" s="54"/>
      <c r="N36" s="78" t="s">
        <v>10</v>
      </c>
      <c r="O36" s="288">
        <f>ROUNDDOWN(O34-O35,0)</f>
        <v>0</v>
      </c>
      <c r="P36" s="289"/>
    </row>
    <row r="37" spans="1:21" ht="15" customHeight="1" x14ac:dyDescent="0.2">
      <c r="A37" s="72"/>
      <c r="C37" s="122">
        <v>17</v>
      </c>
      <c r="D37" s="118" t="s">
        <v>316</v>
      </c>
      <c r="E37" s="150">
        <f>E26</f>
        <v>0</v>
      </c>
      <c r="F37" s="115" t="s">
        <v>385</v>
      </c>
      <c r="G37" s="54"/>
      <c r="H37" s="54"/>
      <c r="I37" s="54"/>
      <c r="J37" s="54"/>
      <c r="K37" s="54"/>
      <c r="L37" s="54"/>
      <c r="M37" s="54"/>
      <c r="N37" s="78" t="s">
        <v>317</v>
      </c>
      <c r="O37" s="269">
        <f>O$36*(E37/100)</f>
        <v>0</v>
      </c>
      <c r="P37" s="270"/>
    </row>
    <row r="38" spans="1:21" ht="15" customHeight="1" x14ac:dyDescent="0.2">
      <c r="A38" s="72"/>
      <c r="C38" s="126">
        <v>18</v>
      </c>
      <c r="D38" s="127" t="s">
        <v>328</v>
      </c>
      <c r="E38" s="128"/>
      <c r="F38" s="129"/>
      <c r="G38" s="128"/>
      <c r="H38" s="128"/>
      <c r="I38" s="128"/>
      <c r="J38" s="128"/>
      <c r="K38" s="128"/>
      <c r="L38" s="128"/>
      <c r="M38" s="128"/>
      <c r="N38" s="130" t="s">
        <v>470</v>
      </c>
      <c r="O38" s="271">
        <f>ROUNDDOWN(O36+O37,0)</f>
        <v>0</v>
      </c>
      <c r="P38" s="272"/>
    </row>
    <row r="39" spans="1:21" ht="18.75" customHeight="1" x14ac:dyDescent="0.2">
      <c r="A39" s="72"/>
      <c r="B39" s="131"/>
      <c r="C39" s="273" t="s">
        <v>343</v>
      </c>
      <c r="D39" s="274"/>
      <c r="E39" s="274"/>
      <c r="F39" s="274"/>
      <c r="G39" s="274"/>
      <c r="H39" s="274"/>
      <c r="I39" s="274"/>
      <c r="J39" s="274"/>
      <c r="K39" s="274"/>
      <c r="L39" s="274"/>
      <c r="M39" s="274"/>
      <c r="N39" s="274"/>
      <c r="O39" s="274"/>
      <c r="P39" s="275"/>
    </row>
    <row r="40" spans="1:21" ht="15" customHeight="1" x14ac:dyDescent="0.2">
      <c r="C40" s="276"/>
      <c r="D40" s="277"/>
      <c r="E40" s="277"/>
      <c r="F40" s="277"/>
      <c r="G40" s="277"/>
      <c r="H40" s="277"/>
      <c r="I40" s="277"/>
      <c r="J40" s="277"/>
      <c r="K40" s="277"/>
      <c r="L40" s="277"/>
      <c r="M40" s="277"/>
      <c r="N40" s="277"/>
      <c r="O40" s="277"/>
      <c r="P40" s="278"/>
    </row>
    <row r="41" spans="1:21" ht="15" customHeight="1" thickBot="1" x14ac:dyDescent="0.25">
      <c r="C41" s="316" t="str">
        <f>IF(AND(O19&gt;0,OR(M16="",M16="NULL",M16=0)),"ERROR: Please Fill VA Loan Number Above","")</f>
        <v/>
      </c>
      <c r="D41" s="317"/>
      <c r="E41" s="317"/>
      <c r="F41" s="317"/>
      <c r="G41" s="317"/>
      <c r="H41" s="317"/>
      <c r="I41" s="317"/>
      <c r="J41" s="317"/>
      <c r="K41" s="317"/>
      <c r="L41" s="317"/>
      <c r="M41" s="317"/>
      <c r="N41" s="317"/>
      <c r="O41" s="317"/>
      <c r="P41" s="318"/>
    </row>
    <row r="42" spans="1:21" x14ac:dyDescent="0.2">
      <c r="C42" s="315" t="s">
        <v>333</v>
      </c>
      <c r="D42" s="287"/>
      <c r="E42" s="279" t="s">
        <v>332</v>
      </c>
      <c r="F42" s="280"/>
      <c r="G42" s="280"/>
      <c r="H42" s="280"/>
      <c r="I42" s="287"/>
      <c r="J42" s="279" t="s">
        <v>384</v>
      </c>
      <c r="K42" s="282"/>
      <c r="L42" s="279" t="s">
        <v>334</v>
      </c>
      <c r="M42" s="280"/>
      <c r="N42" s="280"/>
      <c r="O42" s="280"/>
      <c r="P42" s="281"/>
    </row>
    <row r="43" spans="1:21" ht="12" thickBot="1" x14ac:dyDescent="0.25">
      <c r="C43" s="294"/>
      <c r="D43" s="295"/>
      <c r="E43" s="285"/>
      <c r="F43" s="283"/>
      <c r="G43" s="283"/>
      <c r="H43" s="283"/>
      <c r="I43" s="286"/>
      <c r="J43" s="283"/>
      <c r="K43" s="284"/>
      <c r="L43" s="296"/>
      <c r="M43" s="297"/>
      <c r="N43" s="297"/>
      <c r="O43" s="297"/>
      <c r="P43" s="298"/>
    </row>
    <row r="44" spans="1:21" x14ac:dyDescent="0.2">
      <c r="C44" s="72" t="s">
        <v>339</v>
      </c>
      <c r="E44" s="264" t="s">
        <v>341</v>
      </c>
      <c r="F44" s="264"/>
      <c r="G44" s="266" t="s">
        <v>342</v>
      </c>
      <c r="H44" s="267"/>
      <c r="I44" s="267"/>
      <c r="J44" s="267"/>
      <c r="K44" s="267"/>
      <c r="L44" s="267"/>
    </row>
    <row r="45" spans="1:21" x14ac:dyDescent="0.2">
      <c r="C45" s="132" t="s">
        <v>340</v>
      </c>
      <c r="E45" s="265"/>
      <c r="F45" s="265"/>
      <c r="G45" s="268"/>
      <c r="H45" s="268"/>
      <c r="I45" s="268"/>
      <c r="J45" s="268"/>
      <c r="K45" s="268"/>
      <c r="L45" s="268"/>
    </row>
    <row r="46" spans="1:21" x14ac:dyDescent="0.2">
      <c r="G46" s="133"/>
      <c r="H46" s="133"/>
      <c r="I46" s="133"/>
      <c r="J46" s="133"/>
      <c r="K46" s="133"/>
      <c r="L46" s="133"/>
    </row>
    <row r="48" spans="1:21" s="56" customFormat="1" x14ac:dyDescent="0.2">
      <c r="A48" s="45"/>
      <c r="B48" s="45"/>
    </row>
    <row r="49" spans="1:2" s="56" customFormat="1" x14ac:dyDescent="0.2">
      <c r="A49" s="45"/>
      <c r="B49" s="45"/>
    </row>
    <row r="50" spans="1:2" s="56" customFormat="1" x14ac:dyDescent="0.2">
      <c r="A50" s="45"/>
      <c r="B50" s="45"/>
    </row>
    <row r="51" spans="1:2" s="56" customFormat="1" x14ac:dyDescent="0.2">
      <c r="A51" s="45"/>
      <c r="B51" s="45"/>
    </row>
    <row r="52" spans="1:2" s="56" customFormat="1" x14ac:dyDescent="0.2">
      <c r="A52" s="45"/>
      <c r="B52" s="45"/>
    </row>
    <row r="53" spans="1:2" s="56" customFormat="1" x14ac:dyDescent="0.2">
      <c r="A53" s="45"/>
      <c r="B53" s="45"/>
    </row>
    <row r="54" spans="1:2" s="56" customFormat="1" x14ac:dyDescent="0.2">
      <c r="A54" s="45"/>
      <c r="B54" s="45"/>
    </row>
    <row r="55" spans="1:2" s="56" customFormat="1" x14ac:dyDescent="0.2">
      <c r="A55" s="45"/>
      <c r="B55" s="45"/>
    </row>
    <row r="57" spans="1:2" s="56" customFormat="1" x14ac:dyDescent="0.2">
      <c r="A57" s="45"/>
      <c r="B57" s="45"/>
    </row>
    <row r="58" spans="1:2" s="56" customFormat="1" x14ac:dyDescent="0.2">
      <c r="A58" s="45"/>
      <c r="B58" s="45"/>
    </row>
    <row r="59" spans="1:2" s="56" customFormat="1" x14ac:dyDescent="0.2">
      <c r="A59" s="45"/>
      <c r="B59" s="45"/>
    </row>
    <row r="60" spans="1:2" s="56" customFormat="1" x14ac:dyDescent="0.2">
      <c r="A60" s="45"/>
      <c r="B60" s="45"/>
    </row>
    <row r="61" spans="1:2" s="56" customFormat="1" x14ac:dyDescent="0.2">
      <c r="A61" s="45"/>
      <c r="B61" s="45"/>
    </row>
    <row r="62" spans="1:2" s="56" customFormat="1" x14ac:dyDescent="0.2">
      <c r="A62" s="45"/>
      <c r="B62" s="45"/>
    </row>
    <row r="63" spans="1:2" s="56" customFormat="1" x14ac:dyDescent="0.2">
      <c r="A63" s="45"/>
      <c r="B63" s="45"/>
    </row>
    <row r="64" spans="1:2" s="56" customFormat="1" x14ac:dyDescent="0.2">
      <c r="A64" s="45"/>
      <c r="B64" s="45"/>
    </row>
    <row r="65" spans="1:2" s="56" customFormat="1" x14ac:dyDescent="0.2">
      <c r="A65" s="45"/>
      <c r="B65" s="45"/>
    </row>
    <row r="66" spans="1:2" s="56" customFormat="1" x14ac:dyDescent="0.2">
      <c r="A66" s="45"/>
      <c r="B66" s="45"/>
    </row>
    <row r="67" spans="1:2" s="56" customFormat="1" x14ac:dyDescent="0.2">
      <c r="A67" s="45"/>
      <c r="B67" s="45"/>
    </row>
    <row r="68" spans="1:2" s="56" customFormat="1" x14ac:dyDescent="0.2">
      <c r="A68" s="45"/>
      <c r="B68" s="45"/>
    </row>
    <row r="69" spans="1:2" s="56" customFormat="1" x14ac:dyDescent="0.2">
      <c r="A69" s="45"/>
      <c r="B69" s="45"/>
    </row>
    <row r="70" spans="1:2" s="56" customFormat="1" x14ac:dyDescent="0.2">
      <c r="A70" s="45"/>
      <c r="B70" s="45"/>
    </row>
    <row r="71" spans="1:2" s="56" customFormat="1" x14ac:dyDescent="0.2">
      <c r="A71" s="45"/>
      <c r="B71" s="45"/>
    </row>
    <row r="72" spans="1:2" s="56" customFormat="1" x14ac:dyDescent="0.2">
      <c r="A72" s="45"/>
      <c r="B72" s="45"/>
    </row>
    <row r="73" spans="1:2" s="56" customFormat="1" x14ac:dyDescent="0.2">
      <c r="A73" s="45"/>
      <c r="B73" s="45"/>
    </row>
    <row r="74" spans="1:2" s="56" customFormat="1" x14ac:dyDescent="0.2">
      <c r="A74" s="45"/>
      <c r="B74" s="45"/>
    </row>
    <row r="75" spans="1:2" s="56" customFormat="1" x14ac:dyDescent="0.2">
      <c r="A75" s="45"/>
      <c r="B75" s="45"/>
    </row>
    <row r="76" spans="1:2" s="56" customFormat="1" x14ac:dyDescent="0.2">
      <c r="A76" s="45"/>
      <c r="B76" s="45"/>
    </row>
    <row r="77" spans="1:2" s="56" customFormat="1" x14ac:dyDescent="0.2">
      <c r="A77" s="45"/>
      <c r="B77" s="45"/>
    </row>
    <row r="78" spans="1:2" s="56" customFormat="1" x14ac:dyDescent="0.2">
      <c r="A78" s="45"/>
      <c r="B78" s="45"/>
    </row>
    <row r="80" spans="1:2" s="56" customFormat="1" ht="11.25" customHeight="1" x14ac:dyDescent="0.2">
      <c r="A80" s="45"/>
      <c r="B80" s="45"/>
    </row>
    <row r="81" spans="1:2" s="56" customFormat="1" x14ac:dyDescent="0.2">
      <c r="A81" s="45"/>
      <c r="B81" s="45"/>
    </row>
    <row r="82" spans="1:2" s="56" customFormat="1" x14ac:dyDescent="0.2">
      <c r="A82" s="45"/>
      <c r="B82" s="45"/>
    </row>
    <row r="83" spans="1:2" s="56" customFormat="1" x14ac:dyDescent="0.2">
      <c r="A83" s="45"/>
      <c r="B83" s="45"/>
    </row>
    <row r="84" spans="1:2" s="56" customFormat="1" x14ac:dyDescent="0.2">
      <c r="A84" s="45"/>
      <c r="B84" s="45"/>
    </row>
    <row r="85" spans="1:2" s="56" customFormat="1" x14ac:dyDescent="0.2">
      <c r="A85" s="45"/>
      <c r="B85" s="45"/>
    </row>
    <row r="86" spans="1:2" s="56" customFormat="1" x14ac:dyDescent="0.2">
      <c r="A86" s="45"/>
      <c r="B86" s="45"/>
    </row>
    <row r="87" spans="1:2" s="56" customFormat="1" ht="1.5" customHeight="1" x14ac:dyDescent="0.2">
      <c r="A87" s="45"/>
      <c r="B87" s="45"/>
    </row>
    <row r="88" spans="1:2" s="56" customFormat="1" ht="10.5" hidden="1" customHeight="1" x14ac:dyDescent="0.2">
      <c r="A88" s="45"/>
      <c r="B88" s="45"/>
    </row>
    <row r="89" spans="1:2" s="56" customFormat="1" ht="11.25" hidden="1" customHeight="1" x14ac:dyDescent="0.2">
      <c r="A89" s="45"/>
      <c r="B89" s="45"/>
    </row>
    <row r="90" spans="1:2" s="56" customFormat="1" ht="11.25" hidden="1" customHeight="1" x14ac:dyDescent="0.2">
      <c r="A90" s="45"/>
      <c r="B90" s="45"/>
    </row>
    <row r="95" spans="1:2" s="56" customFormat="1" x14ac:dyDescent="0.2">
      <c r="A95" s="45"/>
      <c r="B95" s="45"/>
    </row>
  </sheetData>
  <sheetProtection password="D887" sheet="1" selectLockedCells="1"/>
  <mergeCells count="41">
    <mergeCell ref="C17:P17"/>
    <mergeCell ref="C22:P22"/>
    <mergeCell ref="O26:P26"/>
    <mergeCell ref="O19:P19"/>
    <mergeCell ref="O20:P20"/>
    <mergeCell ref="O21:P21"/>
    <mergeCell ref="C1:P1"/>
    <mergeCell ref="C15:L16"/>
    <mergeCell ref="M15:P15"/>
    <mergeCell ref="M16:P16"/>
    <mergeCell ref="C42:D42"/>
    <mergeCell ref="C41:P41"/>
    <mergeCell ref="O31:P31"/>
    <mergeCell ref="O32:P32"/>
    <mergeCell ref="C2:P6"/>
    <mergeCell ref="C8:P13"/>
    <mergeCell ref="O36:P36"/>
    <mergeCell ref="O18:P18"/>
    <mergeCell ref="D18:N18"/>
    <mergeCell ref="O23:P23"/>
    <mergeCell ref="O24:P24"/>
    <mergeCell ref="O25:P25"/>
    <mergeCell ref="O33:P33"/>
    <mergeCell ref="O34:P34"/>
    <mergeCell ref="O27:P27"/>
    <mergeCell ref="O28:P28"/>
    <mergeCell ref="C43:D43"/>
    <mergeCell ref="L43:P43"/>
    <mergeCell ref="O30:P30"/>
    <mergeCell ref="O35:P35"/>
    <mergeCell ref="C29:P29"/>
    <mergeCell ref="E44:F45"/>
    <mergeCell ref="G44:L45"/>
    <mergeCell ref="O37:P37"/>
    <mergeCell ref="O38:P38"/>
    <mergeCell ref="C39:P40"/>
    <mergeCell ref="L42:P42"/>
    <mergeCell ref="J42:K42"/>
    <mergeCell ref="J43:K43"/>
    <mergeCell ref="E43:I43"/>
    <mergeCell ref="E42:I42"/>
  </mergeCells>
  <conditionalFormatting sqref="M15">
    <cfRule type="expression" dxfId="7" priority="1">
      <formula>AND(O19&gt;0,OR(M16="",M16="NULL",M16=0))</formula>
    </cfRule>
  </conditionalFormatting>
  <dataValidations count="2">
    <dataValidation type="decimal" operator="greaterThanOrEqual" allowBlank="1" showInputMessage="1" showErrorMessage="1" errorTitle="Invalid Input" error="Please Enter A Positive Value" sqref="O19:P20 O27:P27 E31 E37 E25:E26" xr:uid="{00000000-0002-0000-0000-000000000000}">
      <formula1>0</formula1>
    </dataValidation>
    <dataValidation type="decimal" allowBlank="1" showInputMessage="1" showErrorMessage="1" errorTitle="Invalid Input" error="You are receiving this error because either:_x000a__x000a_You have entered an invalid discount. Discount value cannot exceed the maximum allowable 2% discount." sqref="E24" xr:uid="{00000000-0002-0000-0000-000001000000}">
      <formula1>-100</formula1>
      <formula2>2</formula2>
    </dataValidation>
  </dataValidations>
  <pageMargins left="0.75" right="0.75" top="1" bottom="1" header="0.5" footer="0.5"/>
  <pageSetup scale="87" orientation="portrait" horizontalDpi="300" verticalDpi="300" r:id="rId1"/>
  <headerFooter alignWithMargins="0"/>
  <ignoredErrors>
    <ignoredError sqref="O34:O35" formula="1"/>
    <ignoredError sqref="E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ClearIRRRL" altText="Clear All Values">
                <anchor moveWithCells="1" sizeWithCells="1">
                  <from>
                    <xdr:col>17</xdr:col>
                    <xdr:colOff>76200</xdr:colOff>
                    <xdr:row>1</xdr:row>
                    <xdr:rowOff>0</xdr:rowOff>
                  </from>
                  <to>
                    <xdr:col>20</xdr:col>
                    <xdr:colOff>66675</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Z83"/>
  <sheetViews>
    <sheetView showGridLines="0" topLeftCell="A34" zoomScale="106" zoomScaleNormal="106" workbookViewId="0">
      <selection activeCell="B68" sqref="B68:K78"/>
    </sheetView>
  </sheetViews>
  <sheetFormatPr defaultRowHeight="11.25" x14ac:dyDescent="0.2"/>
  <cols>
    <col min="1" max="1" width="1.83203125" customWidth="1"/>
    <col min="2" max="2" width="2.5" style="89" bestFit="1" customWidth="1"/>
    <col min="3" max="3" width="14.1640625" style="45" customWidth="1"/>
    <col min="4" max="4" width="5.83203125" style="45" customWidth="1"/>
    <col min="5" max="5" width="6.6640625" style="45" customWidth="1"/>
    <col min="6" max="6" width="3.33203125" style="45" customWidth="1"/>
    <col min="7" max="7" width="12.5" style="45" bestFit="1" customWidth="1"/>
    <col min="8" max="8" width="12.33203125" style="45" customWidth="1"/>
    <col min="9" max="9" width="32.83203125" style="45" customWidth="1"/>
    <col min="10" max="10" width="6.5" style="90" bestFit="1" customWidth="1"/>
    <col min="11" max="11" width="19.6640625" style="45" customWidth="1"/>
    <col min="12" max="13" width="19.6640625" style="45" hidden="1" customWidth="1"/>
    <col min="14" max="14" width="11.6640625" style="56" bestFit="1" customWidth="1"/>
    <col min="15" max="15" width="1.83203125" style="45" customWidth="1"/>
    <col min="16" max="16" width="14.83203125" style="45" bestFit="1" customWidth="1"/>
    <col min="18" max="18" width="13.33203125" hidden="1" customWidth="1"/>
    <col min="19" max="19" width="10.33203125" hidden="1" customWidth="1"/>
    <col min="22" max="52" width="14.1640625" hidden="1" customWidth="1"/>
  </cols>
  <sheetData>
    <row r="1" spans="1:52" ht="15.75" x14ac:dyDescent="0.2">
      <c r="B1" s="330" t="s">
        <v>543</v>
      </c>
      <c r="C1" s="330"/>
      <c r="D1" s="330"/>
      <c r="E1" s="330"/>
      <c r="F1" s="330"/>
      <c r="G1" s="330"/>
      <c r="H1" s="330"/>
      <c r="I1" s="330"/>
      <c r="J1" s="330"/>
      <c r="K1" s="330"/>
      <c r="L1" s="173"/>
      <c r="M1" s="173"/>
      <c r="N1" s="52"/>
      <c r="V1" s="29" t="s">
        <v>515</v>
      </c>
    </row>
    <row r="2" spans="1:52" ht="12.75" x14ac:dyDescent="0.2">
      <c r="B2" s="331" t="s">
        <v>5</v>
      </c>
      <c r="C2" s="332"/>
      <c r="D2" s="332"/>
      <c r="E2" s="332"/>
      <c r="F2" s="332"/>
      <c r="G2" s="332"/>
      <c r="H2" s="332"/>
      <c r="I2" s="332"/>
      <c r="J2" s="332"/>
      <c r="K2" s="333"/>
      <c r="L2" s="169"/>
      <c r="M2" s="169"/>
      <c r="N2" s="53"/>
      <c r="O2" s="54"/>
      <c r="V2" s="26">
        <f>K3</f>
        <v>0</v>
      </c>
      <c r="W2" s="26">
        <f>V2</f>
        <v>0</v>
      </c>
      <c r="X2" s="26">
        <f t="shared" ref="X2:AD2" si="0">W2</f>
        <v>0</v>
      </c>
      <c r="Y2" s="26">
        <f t="shared" si="0"/>
        <v>0</v>
      </c>
      <c r="Z2" s="26">
        <f t="shared" si="0"/>
        <v>0</v>
      </c>
      <c r="AA2" s="26">
        <f t="shared" si="0"/>
        <v>0</v>
      </c>
      <c r="AB2" s="26">
        <f t="shared" si="0"/>
        <v>0</v>
      </c>
      <c r="AC2" s="26">
        <f t="shared" si="0"/>
        <v>0</v>
      </c>
      <c r="AD2" s="26">
        <f t="shared" si="0"/>
        <v>0</v>
      </c>
      <c r="AE2" s="26">
        <f t="shared" ref="AE2:AZ2" si="1">AD2</f>
        <v>0</v>
      </c>
      <c r="AF2" s="26">
        <f t="shared" si="1"/>
        <v>0</v>
      </c>
      <c r="AG2" s="26">
        <f t="shared" si="1"/>
        <v>0</v>
      </c>
      <c r="AH2" s="26">
        <f t="shared" si="1"/>
        <v>0</v>
      </c>
      <c r="AI2" s="26">
        <f t="shared" si="1"/>
        <v>0</v>
      </c>
      <c r="AJ2" s="26">
        <f t="shared" si="1"/>
        <v>0</v>
      </c>
      <c r="AK2" s="26">
        <f t="shared" si="1"/>
        <v>0</v>
      </c>
      <c r="AL2" s="26">
        <f t="shared" si="1"/>
        <v>0</v>
      </c>
      <c r="AM2" s="26">
        <f t="shared" si="1"/>
        <v>0</v>
      </c>
      <c r="AN2" s="26">
        <f t="shared" si="1"/>
        <v>0</v>
      </c>
      <c r="AO2" s="26">
        <f t="shared" si="1"/>
        <v>0</v>
      </c>
      <c r="AP2" s="26">
        <f t="shared" si="1"/>
        <v>0</v>
      </c>
      <c r="AQ2" s="26">
        <f t="shared" si="1"/>
        <v>0</v>
      </c>
      <c r="AR2" s="26">
        <f t="shared" si="1"/>
        <v>0</v>
      </c>
      <c r="AS2" s="26">
        <f t="shared" si="1"/>
        <v>0</v>
      </c>
      <c r="AT2" s="26">
        <f t="shared" si="1"/>
        <v>0</v>
      </c>
      <c r="AU2" s="26">
        <f t="shared" si="1"/>
        <v>0</v>
      </c>
      <c r="AV2" s="26">
        <f t="shared" si="1"/>
        <v>0</v>
      </c>
      <c r="AW2" s="26">
        <f t="shared" si="1"/>
        <v>0</v>
      </c>
      <c r="AX2" s="26">
        <f t="shared" si="1"/>
        <v>0</v>
      </c>
      <c r="AY2" s="26">
        <f t="shared" si="1"/>
        <v>0</v>
      </c>
      <c r="AZ2" s="26">
        <f t="shared" si="1"/>
        <v>0</v>
      </c>
    </row>
    <row r="3" spans="1:52" x14ac:dyDescent="0.2">
      <c r="B3" s="62" t="s">
        <v>12</v>
      </c>
      <c r="C3" s="63" t="s">
        <v>0</v>
      </c>
      <c r="D3" s="54"/>
      <c r="E3" s="54"/>
      <c r="F3" s="54"/>
      <c r="G3" s="54"/>
      <c r="H3" s="54"/>
      <c r="I3" s="54"/>
      <c r="J3" s="64"/>
      <c r="K3" s="256"/>
      <c r="L3" s="174">
        <f>K3</f>
        <v>0</v>
      </c>
      <c r="M3" s="174">
        <f>K3</f>
        <v>0</v>
      </c>
      <c r="N3" s="165"/>
      <c r="O3" s="54"/>
      <c r="V3" s="26">
        <f>K4</f>
        <v>0</v>
      </c>
      <c r="W3" s="26">
        <f t="shared" ref="W3:AD13" si="2">V3</f>
        <v>0</v>
      </c>
      <c r="X3" s="26">
        <f t="shared" si="2"/>
        <v>0</v>
      </c>
      <c r="Y3" s="26">
        <f t="shared" si="2"/>
        <v>0</v>
      </c>
      <c r="Z3" s="26">
        <f t="shared" si="2"/>
        <v>0</v>
      </c>
      <c r="AA3" s="26">
        <f t="shared" si="2"/>
        <v>0</v>
      </c>
      <c r="AB3" s="26">
        <f t="shared" si="2"/>
        <v>0</v>
      </c>
      <c r="AC3" s="26">
        <f t="shared" si="2"/>
        <v>0</v>
      </c>
      <c r="AD3" s="26">
        <f t="shared" si="2"/>
        <v>0</v>
      </c>
      <c r="AE3" s="26">
        <f t="shared" ref="AE3:AZ3" si="3">AD3</f>
        <v>0</v>
      </c>
      <c r="AF3" s="26">
        <f t="shared" si="3"/>
        <v>0</v>
      </c>
      <c r="AG3" s="26">
        <f t="shared" si="3"/>
        <v>0</v>
      </c>
      <c r="AH3" s="26">
        <f t="shared" si="3"/>
        <v>0</v>
      </c>
      <c r="AI3" s="26">
        <f t="shared" si="3"/>
        <v>0</v>
      </c>
      <c r="AJ3" s="26">
        <f t="shared" si="3"/>
        <v>0</v>
      </c>
      <c r="AK3" s="26">
        <f t="shared" si="3"/>
        <v>0</v>
      </c>
      <c r="AL3" s="26">
        <f t="shared" si="3"/>
        <v>0</v>
      </c>
      <c r="AM3" s="26">
        <f t="shared" si="3"/>
        <v>0</v>
      </c>
      <c r="AN3" s="26">
        <f t="shared" si="3"/>
        <v>0</v>
      </c>
      <c r="AO3" s="26">
        <f t="shared" si="3"/>
        <v>0</v>
      </c>
      <c r="AP3" s="26">
        <f t="shared" si="3"/>
        <v>0</v>
      </c>
      <c r="AQ3" s="26">
        <f t="shared" si="3"/>
        <v>0</v>
      </c>
      <c r="AR3" s="26">
        <f t="shared" si="3"/>
        <v>0</v>
      </c>
      <c r="AS3" s="26">
        <f t="shared" si="3"/>
        <v>0</v>
      </c>
      <c r="AT3" s="26">
        <f t="shared" si="3"/>
        <v>0</v>
      </c>
      <c r="AU3" s="26">
        <f t="shared" si="3"/>
        <v>0</v>
      </c>
      <c r="AV3" s="26">
        <f t="shared" si="3"/>
        <v>0</v>
      </c>
      <c r="AW3" s="26">
        <f t="shared" si="3"/>
        <v>0</v>
      </c>
      <c r="AX3" s="26">
        <f t="shared" si="3"/>
        <v>0</v>
      </c>
      <c r="AY3" s="26">
        <f t="shared" si="3"/>
        <v>0</v>
      </c>
      <c r="AZ3" s="26">
        <f t="shared" si="3"/>
        <v>0</v>
      </c>
    </row>
    <row r="4" spans="1:52" x14ac:dyDescent="0.2">
      <c r="B4" s="62" t="s">
        <v>13</v>
      </c>
      <c r="C4" s="63" t="s">
        <v>1</v>
      </c>
      <c r="D4" s="54"/>
      <c r="E4" s="54"/>
      <c r="F4" s="54"/>
      <c r="G4" s="54"/>
      <c r="H4" s="54"/>
      <c r="I4" s="54"/>
      <c r="J4" s="64"/>
      <c r="K4" s="257"/>
      <c r="L4" s="174">
        <f t="shared" ref="L4:L12" si="4">K4</f>
        <v>0</v>
      </c>
      <c r="M4" s="175">
        <f>K4</f>
        <v>0</v>
      </c>
      <c r="N4" s="55"/>
      <c r="O4" s="54"/>
      <c r="V4" s="26">
        <f>K5</f>
        <v>0</v>
      </c>
      <c r="W4" s="26">
        <f t="shared" si="2"/>
        <v>0</v>
      </c>
      <c r="X4" s="26">
        <f t="shared" si="2"/>
        <v>0</v>
      </c>
      <c r="Y4" s="26">
        <f t="shared" si="2"/>
        <v>0</v>
      </c>
      <c r="Z4" s="26">
        <f t="shared" si="2"/>
        <v>0</v>
      </c>
      <c r="AA4" s="26">
        <f t="shared" si="2"/>
        <v>0</v>
      </c>
      <c r="AB4" s="26">
        <f t="shared" si="2"/>
        <v>0</v>
      </c>
      <c r="AC4" s="26">
        <f t="shared" si="2"/>
        <v>0</v>
      </c>
      <c r="AD4" s="26">
        <f t="shared" si="2"/>
        <v>0</v>
      </c>
      <c r="AE4" s="26">
        <f t="shared" ref="AE4:AZ4" si="5">AD4</f>
        <v>0</v>
      </c>
      <c r="AF4" s="26">
        <f t="shared" si="5"/>
        <v>0</v>
      </c>
      <c r="AG4" s="26">
        <f t="shared" si="5"/>
        <v>0</v>
      </c>
      <c r="AH4" s="26">
        <f t="shared" si="5"/>
        <v>0</v>
      </c>
      <c r="AI4" s="26">
        <f t="shared" si="5"/>
        <v>0</v>
      </c>
      <c r="AJ4" s="26">
        <f t="shared" si="5"/>
        <v>0</v>
      </c>
      <c r="AK4" s="26">
        <f t="shared" si="5"/>
        <v>0</v>
      </c>
      <c r="AL4" s="26">
        <f t="shared" si="5"/>
        <v>0</v>
      </c>
      <c r="AM4" s="26">
        <f t="shared" si="5"/>
        <v>0</v>
      </c>
      <c r="AN4" s="26">
        <f t="shared" si="5"/>
        <v>0</v>
      </c>
      <c r="AO4" s="26">
        <f t="shared" si="5"/>
        <v>0</v>
      </c>
      <c r="AP4" s="26">
        <f t="shared" si="5"/>
        <v>0</v>
      </c>
      <c r="AQ4" s="26">
        <f t="shared" si="5"/>
        <v>0</v>
      </c>
      <c r="AR4" s="26">
        <f t="shared" si="5"/>
        <v>0</v>
      </c>
      <c r="AS4" s="26">
        <f t="shared" si="5"/>
        <v>0</v>
      </c>
      <c r="AT4" s="26">
        <f t="shared" si="5"/>
        <v>0</v>
      </c>
      <c r="AU4" s="26">
        <f t="shared" si="5"/>
        <v>0</v>
      </c>
      <c r="AV4" s="26">
        <f t="shared" si="5"/>
        <v>0</v>
      </c>
      <c r="AW4" s="26">
        <f t="shared" si="5"/>
        <v>0</v>
      </c>
      <c r="AX4" s="26">
        <f t="shared" si="5"/>
        <v>0</v>
      </c>
      <c r="AY4" s="26">
        <f t="shared" si="5"/>
        <v>0</v>
      </c>
      <c r="AZ4" s="26">
        <f t="shared" si="5"/>
        <v>0</v>
      </c>
    </row>
    <row r="5" spans="1:52" x14ac:dyDescent="0.2">
      <c r="B5" s="62" t="s">
        <v>14</v>
      </c>
      <c r="C5" s="66" t="s">
        <v>9</v>
      </c>
      <c r="D5" s="67"/>
      <c r="E5" s="54"/>
      <c r="F5" s="54"/>
      <c r="G5" s="54"/>
      <c r="H5" s="54"/>
      <c r="I5" s="54"/>
      <c r="J5" s="68" t="s">
        <v>10</v>
      </c>
      <c r="K5" s="185">
        <f>MIN(K3:K4)</f>
        <v>0</v>
      </c>
      <c r="L5" s="185">
        <f>MIN(L3:L4)</f>
        <v>0</v>
      </c>
      <c r="M5" s="176">
        <f>K5</f>
        <v>0</v>
      </c>
      <c r="N5" s="55"/>
      <c r="O5" s="54"/>
      <c r="W5" s="26">
        <f t="shared" si="2"/>
        <v>0</v>
      </c>
      <c r="X5" s="26">
        <f t="shared" si="2"/>
        <v>0</v>
      </c>
      <c r="Y5" s="26">
        <f t="shared" si="2"/>
        <v>0</v>
      </c>
      <c r="Z5" s="26">
        <f t="shared" si="2"/>
        <v>0</v>
      </c>
      <c r="AA5" s="26">
        <f t="shared" si="2"/>
        <v>0</v>
      </c>
      <c r="AB5" s="26">
        <f t="shared" si="2"/>
        <v>0</v>
      </c>
      <c r="AC5" s="26">
        <f t="shared" si="2"/>
        <v>0</v>
      </c>
      <c r="AD5" s="26">
        <f t="shared" si="2"/>
        <v>0</v>
      </c>
      <c r="AE5" s="26">
        <f t="shared" ref="AE5:AZ5" si="6">AD5</f>
        <v>0</v>
      </c>
      <c r="AF5" s="26">
        <f t="shared" si="6"/>
        <v>0</v>
      </c>
      <c r="AG5" s="26">
        <f t="shared" si="6"/>
        <v>0</v>
      </c>
      <c r="AH5" s="26">
        <f t="shared" si="6"/>
        <v>0</v>
      </c>
      <c r="AI5" s="26">
        <f t="shared" si="6"/>
        <v>0</v>
      </c>
      <c r="AJ5" s="26">
        <f t="shared" si="6"/>
        <v>0</v>
      </c>
      <c r="AK5" s="26">
        <f t="shared" si="6"/>
        <v>0</v>
      </c>
      <c r="AL5" s="26">
        <f t="shared" si="6"/>
        <v>0</v>
      </c>
      <c r="AM5" s="26">
        <f t="shared" si="6"/>
        <v>0</v>
      </c>
      <c r="AN5" s="26">
        <f t="shared" si="6"/>
        <v>0</v>
      </c>
      <c r="AO5" s="26">
        <f t="shared" si="6"/>
        <v>0</v>
      </c>
      <c r="AP5" s="26">
        <f t="shared" si="6"/>
        <v>0</v>
      </c>
      <c r="AQ5" s="26">
        <f t="shared" si="6"/>
        <v>0</v>
      </c>
      <c r="AR5" s="26">
        <f t="shared" si="6"/>
        <v>0</v>
      </c>
      <c r="AS5" s="26">
        <f t="shared" si="6"/>
        <v>0</v>
      </c>
      <c r="AT5" s="26">
        <f t="shared" si="6"/>
        <v>0</v>
      </c>
      <c r="AU5" s="26">
        <f t="shared" si="6"/>
        <v>0</v>
      </c>
      <c r="AV5" s="26">
        <f t="shared" si="6"/>
        <v>0</v>
      </c>
      <c r="AW5" s="26">
        <f t="shared" si="6"/>
        <v>0</v>
      </c>
      <c r="AX5" s="26">
        <f t="shared" si="6"/>
        <v>0</v>
      </c>
      <c r="AY5" s="26">
        <f t="shared" si="6"/>
        <v>0</v>
      </c>
      <c r="AZ5" s="26">
        <f t="shared" si="6"/>
        <v>0</v>
      </c>
    </row>
    <row r="6" spans="1:52" ht="12.75" x14ac:dyDescent="0.2">
      <c r="B6" s="334" t="s">
        <v>490</v>
      </c>
      <c r="C6" s="335"/>
      <c r="D6" s="335"/>
      <c r="E6" s="335"/>
      <c r="F6" s="335"/>
      <c r="G6" s="335"/>
      <c r="H6" s="335"/>
      <c r="I6" s="335"/>
      <c r="J6" s="335"/>
      <c r="K6" s="336"/>
      <c r="L6" s="174">
        <f t="shared" si="4"/>
        <v>0</v>
      </c>
      <c r="M6" s="169"/>
      <c r="N6" s="55"/>
      <c r="O6" s="54"/>
      <c r="V6" s="26">
        <f>K7</f>
        <v>453100</v>
      </c>
      <c r="W6" s="26">
        <f t="shared" si="2"/>
        <v>453100</v>
      </c>
      <c r="X6" s="26">
        <f t="shared" si="2"/>
        <v>453100</v>
      </c>
      <c r="Y6" s="26">
        <f t="shared" si="2"/>
        <v>453100</v>
      </c>
      <c r="Z6" s="26">
        <f t="shared" si="2"/>
        <v>453100</v>
      </c>
      <c r="AA6" s="26">
        <f t="shared" si="2"/>
        <v>453100</v>
      </c>
      <c r="AB6" s="26">
        <f t="shared" si="2"/>
        <v>453100</v>
      </c>
      <c r="AC6" s="26">
        <f t="shared" si="2"/>
        <v>453100</v>
      </c>
      <c r="AD6" s="26">
        <f t="shared" si="2"/>
        <v>453100</v>
      </c>
      <c r="AE6" s="26">
        <f t="shared" ref="AE6:AZ6" si="7">AD6</f>
        <v>453100</v>
      </c>
      <c r="AF6" s="26">
        <f t="shared" si="7"/>
        <v>453100</v>
      </c>
      <c r="AG6" s="26">
        <f t="shared" si="7"/>
        <v>453100</v>
      </c>
      <c r="AH6" s="26">
        <f t="shared" si="7"/>
        <v>453100</v>
      </c>
      <c r="AI6" s="26">
        <f t="shared" si="7"/>
        <v>453100</v>
      </c>
      <c r="AJ6" s="26">
        <f t="shared" si="7"/>
        <v>453100</v>
      </c>
      <c r="AK6" s="26">
        <f t="shared" si="7"/>
        <v>453100</v>
      </c>
      <c r="AL6" s="26">
        <f t="shared" si="7"/>
        <v>453100</v>
      </c>
      <c r="AM6" s="26">
        <f t="shared" si="7"/>
        <v>453100</v>
      </c>
      <c r="AN6" s="26">
        <f t="shared" si="7"/>
        <v>453100</v>
      </c>
      <c r="AO6" s="26">
        <f t="shared" si="7"/>
        <v>453100</v>
      </c>
      <c r="AP6" s="26">
        <f t="shared" si="7"/>
        <v>453100</v>
      </c>
      <c r="AQ6" s="26">
        <f t="shared" si="7"/>
        <v>453100</v>
      </c>
      <c r="AR6" s="26">
        <f t="shared" si="7"/>
        <v>453100</v>
      </c>
      <c r="AS6" s="26">
        <f t="shared" si="7"/>
        <v>453100</v>
      </c>
      <c r="AT6" s="26">
        <f t="shared" si="7"/>
        <v>453100</v>
      </c>
      <c r="AU6" s="26">
        <f t="shared" si="7"/>
        <v>453100</v>
      </c>
      <c r="AV6" s="26">
        <f t="shared" si="7"/>
        <v>453100</v>
      </c>
      <c r="AW6" s="26">
        <f t="shared" si="7"/>
        <v>453100</v>
      </c>
      <c r="AX6" s="26">
        <f t="shared" si="7"/>
        <v>453100</v>
      </c>
      <c r="AY6" s="26">
        <f t="shared" si="7"/>
        <v>453100</v>
      </c>
      <c r="AZ6" s="26">
        <f t="shared" si="7"/>
        <v>453100</v>
      </c>
    </row>
    <row r="7" spans="1:52" x14ac:dyDescent="0.2">
      <c r="B7" s="73" t="s">
        <v>15</v>
      </c>
      <c r="C7" s="137" t="s">
        <v>504</v>
      </c>
      <c r="D7" s="54"/>
      <c r="E7" s="54"/>
      <c r="F7" s="54"/>
      <c r="G7" s="54"/>
      <c r="H7" s="54"/>
      <c r="I7" s="70"/>
      <c r="J7" s="64"/>
      <c r="K7" s="41">
        <f>IF(ISERROR(VLOOKUP($R$7,'County Loan Limits'!$G$5:$J$243,3,FALSE)),417000,VLOOKUP($R$7,'County Loan Limits'!$G$5:$J$243,3,FALSE))</f>
        <v>453100</v>
      </c>
      <c r="L7" s="174">
        <f t="shared" si="4"/>
        <v>453100</v>
      </c>
      <c r="M7" s="177">
        <f>K7</f>
        <v>453100</v>
      </c>
      <c r="N7" s="55"/>
      <c r="O7" s="54"/>
      <c r="R7" s="36">
        <v>1</v>
      </c>
      <c r="W7" s="26">
        <f t="shared" si="2"/>
        <v>0</v>
      </c>
      <c r="X7" s="26">
        <f t="shared" si="2"/>
        <v>0</v>
      </c>
      <c r="Y7" s="26">
        <f t="shared" si="2"/>
        <v>0</v>
      </c>
      <c r="Z7" s="26">
        <f t="shared" si="2"/>
        <v>0</v>
      </c>
      <c r="AA7" s="26">
        <f t="shared" si="2"/>
        <v>0</v>
      </c>
      <c r="AB7" s="26">
        <f t="shared" si="2"/>
        <v>0</v>
      </c>
      <c r="AC7" s="26">
        <f t="shared" si="2"/>
        <v>0</v>
      </c>
      <c r="AD7" s="26">
        <f t="shared" si="2"/>
        <v>0</v>
      </c>
      <c r="AE7" s="26">
        <f t="shared" ref="AE7:AZ7" si="8">AD7</f>
        <v>0</v>
      </c>
      <c r="AF7" s="26">
        <f t="shared" si="8"/>
        <v>0</v>
      </c>
      <c r="AG7" s="26">
        <f t="shared" si="8"/>
        <v>0</v>
      </c>
      <c r="AH7" s="26">
        <f t="shared" si="8"/>
        <v>0</v>
      </c>
      <c r="AI7" s="26">
        <f t="shared" si="8"/>
        <v>0</v>
      </c>
      <c r="AJ7" s="26">
        <f t="shared" si="8"/>
        <v>0</v>
      </c>
      <c r="AK7" s="26">
        <f t="shared" si="8"/>
        <v>0</v>
      </c>
      <c r="AL7" s="26">
        <f t="shared" si="8"/>
        <v>0</v>
      </c>
      <c r="AM7" s="26">
        <f t="shared" si="8"/>
        <v>0</v>
      </c>
      <c r="AN7" s="26">
        <f t="shared" si="8"/>
        <v>0</v>
      </c>
      <c r="AO7" s="26">
        <f t="shared" si="8"/>
        <v>0</v>
      </c>
      <c r="AP7" s="26">
        <f t="shared" si="8"/>
        <v>0</v>
      </c>
      <c r="AQ7" s="26">
        <f t="shared" si="8"/>
        <v>0</v>
      </c>
      <c r="AR7" s="26">
        <f t="shared" si="8"/>
        <v>0</v>
      </c>
      <c r="AS7" s="26">
        <f t="shared" si="8"/>
        <v>0</v>
      </c>
      <c r="AT7" s="26">
        <f t="shared" si="8"/>
        <v>0</v>
      </c>
      <c r="AU7" s="26">
        <f t="shared" si="8"/>
        <v>0</v>
      </c>
      <c r="AV7" s="26">
        <f t="shared" si="8"/>
        <v>0</v>
      </c>
      <c r="AW7" s="26">
        <f t="shared" si="8"/>
        <v>0</v>
      </c>
      <c r="AX7" s="26">
        <f t="shared" si="8"/>
        <v>0</v>
      </c>
      <c r="AY7" s="26">
        <f t="shared" si="8"/>
        <v>0</v>
      </c>
      <c r="AZ7" s="26">
        <f t="shared" si="8"/>
        <v>0</v>
      </c>
    </row>
    <row r="8" spans="1:52" ht="21" customHeight="1" x14ac:dyDescent="0.2">
      <c r="B8" s="62"/>
      <c r="C8" s="144"/>
      <c r="D8" s="146" t="s">
        <v>378</v>
      </c>
      <c r="E8" s="54"/>
      <c r="F8" s="54"/>
      <c r="G8" s="54"/>
      <c r="I8" s="70"/>
      <c r="J8" s="45"/>
      <c r="K8" s="155"/>
      <c r="L8" s="174">
        <f t="shared" si="4"/>
        <v>0</v>
      </c>
      <c r="M8" s="54"/>
      <c r="N8" s="55"/>
      <c r="O8" s="54"/>
      <c r="W8" s="26">
        <f t="shared" si="2"/>
        <v>0</v>
      </c>
      <c r="X8" s="26">
        <f t="shared" si="2"/>
        <v>0</v>
      </c>
      <c r="Y8" s="26">
        <f t="shared" si="2"/>
        <v>0</v>
      </c>
      <c r="Z8" s="26">
        <f t="shared" si="2"/>
        <v>0</v>
      </c>
      <c r="AA8" s="26">
        <f t="shared" si="2"/>
        <v>0</v>
      </c>
      <c r="AB8" s="26">
        <f t="shared" si="2"/>
        <v>0</v>
      </c>
      <c r="AC8" s="26">
        <f t="shared" si="2"/>
        <v>0</v>
      </c>
      <c r="AD8" s="26">
        <f t="shared" si="2"/>
        <v>0</v>
      </c>
      <c r="AE8" s="26">
        <f t="shared" ref="AE8:AZ8" si="9">AD8</f>
        <v>0</v>
      </c>
      <c r="AF8" s="26">
        <f t="shared" si="9"/>
        <v>0</v>
      </c>
      <c r="AG8" s="26">
        <f t="shared" si="9"/>
        <v>0</v>
      </c>
      <c r="AH8" s="26">
        <f t="shared" si="9"/>
        <v>0</v>
      </c>
      <c r="AI8" s="26">
        <f t="shared" si="9"/>
        <v>0</v>
      </c>
      <c r="AJ8" s="26">
        <f t="shared" si="9"/>
        <v>0</v>
      </c>
      <c r="AK8" s="26">
        <f t="shared" si="9"/>
        <v>0</v>
      </c>
      <c r="AL8" s="26">
        <f t="shared" si="9"/>
        <v>0</v>
      </c>
      <c r="AM8" s="26">
        <f t="shared" si="9"/>
        <v>0</v>
      </c>
      <c r="AN8" s="26">
        <f t="shared" si="9"/>
        <v>0</v>
      </c>
      <c r="AO8" s="26">
        <f t="shared" si="9"/>
        <v>0</v>
      </c>
      <c r="AP8" s="26">
        <f t="shared" si="9"/>
        <v>0</v>
      </c>
      <c r="AQ8" s="26">
        <f t="shared" si="9"/>
        <v>0</v>
      </c>
      <c r="AR8" s="26">
        <f t="shared" si="9"/>
        <v>0</v>
      </c>
      <c r="AS8" s="26">
        <f t="shared" si="9"/>
        <v>0</v>
      </c>
      <c r="AT8" s="26">
        <f t="shared" si="9"/>
        <v>0</v>
      </c>
      <c r="AU8" s="26">
        <f t="shared" si="9"/>
        <v>0</v>
      </c>
      <c r="AV8" s="26">
        <f t="shared" si="9"/>
        <v>0</v>
      </c>
      <c r="AW8" s="26">
        <f t="shared" si="9"/>
        <v>0</v>
      </c>
      <c r="AX8" s="26">
        <f t="shared" si="9"/>
        <v>0</v>
      </c>
      <c r="AY8" s="26">
        <f t="shared" si="9"/>
        <v>0</v>
      </c>
      <c r="AZ8" s="26">
        <f t="shared" si="9"/>
        <v>0</v>
      </c>
    </row>
    <row r="9" spans="1:52" x14ac:dyDescent="0.2">
      <c r="B9" s="73" t="s">
        <v>16</v>
      </c>
      <c r="C9" s="137" t="s">
        <v>494</v>
      </c>
      <c r="D9" s="199"/>
      <c r="E9" s="199"/>
      <c r="F9" s="199"/>
      <c r="G9" s="199"/>
      <c r="H9" s="54"/>
      <c r="I9" s="54"/>
      <c r="K9" s="41">
        <v>36000</v>
      </c>
      <c r="L9" s="174">
        <f t="shared" si="4"/>
        <v>36000</v>
      </c>
      <c r="M9" s="41">
        <v>36000</v>
      </c>
      <c r="N9" s="55"/>
      <c r="O9" s="54"/>
      <c r="V9" s="26">
        <f>K9</f>
        <v>36000</v>
      </c>
      <c r="W9" s="26">
        <f t="shared" si="2"/>
        <v>36000</v>
      </c>
      <c r="X9" s="26">
        <f t="shared" si="2"/>
        <v>36000</v>
      </c>
      <c r="Y9" s="26">
        <f t="shared" si="2"/>
        <v>36000</v>
      </c>
      <c r="Z9" s="26">
        <f t="shared" si="2"/>
        <v>36000</v>
      </c>
      <c r="AA9" s="26">
        <f t="shared" si="2"/>
        <v>36000</v>
      </c>
      <c r="AB9" s="26">
        <f t="shared" si="2"/>
        <v>36000</v>
      </c>
      <c r="AC9" s="26">
        <f t="shared" si="2"/>
        <v>36000</v>
      </c>
      <c r="AD9" s="26">
        <f t="shared" si="2"/>
        <v>36000</v>
      </c>
      <c r="AE9" s="26">
        <f t="shared" ref="AE9:AZ9" si="10">AD9</f>
        <v>36000</v>
      </c>
      <c r="AF9" s="26">
        <f t="shared" si="10"/>
        <v>36000</v>
      </c>
      <c r="AG9" s="26">
        <f t="shared" si="10"/>
        <v>36000</v>
      </c>
      <c r="AH9" s="26">
        <f t="shared" si="10"/>
        <v>36000</v>
      </c>
      <c r="AI9" s="26">
        <f t="shared" si="10"/>
        <v>36000</v>
      </c>
      <c r="AJ9" s="26">
        <f t="shared" si="10"/>
        <v>36000</v>
      </c>
      <c r="AK9" s="26">
        <f t="shared" si="10"/>
        <v>36000</v>
      </c>
      <c r="AL9" s="26">
        <f t="shared" si="10"/>
        <v>36000</v>
      </c>
      <c r="AM9" s="26">
        <f t="shared" si="10"/>
        <v>36000</v>
      </c>
      <c r="AN9" s="26">
        <f t="shared" si="10"/>
        <v>36000</v>
      </c>
      <c r="AO9" s="26">
        <f t="shared" si="10"/>
        <v>36000</v>
      </c>
      <c r="AP9" s="26">
        <f t="shared" si="10"/>
        <v>36000</v>
      </c>
      <c r="AQ9" s="26">
        <f t="shared" si="10"/>
        <v>36000</v>
      </c>
      <c r="AR9" s="26">
        <f t="shared" si="10"/>
        <v>36000</v>
      </c>
      <c r="AS9" s="26">
        <f t="shared" si="10"/>
        <v>36000</v>
      </c>
      <c r="AT9" s="26">
        <f t="shared" si="10"/>
        <v>36000</v>
      </c>
      <c r="AU9" s="26">
        <f t="shared" si="10"/>
        <v>36000</v>
      </c>
      <c r="AV9" s="26">
        <f t="shared" si="10"/>
        <v>36000</v>
      </c>
      <c r="AW9" s="26">
        <f t="shared" si="10"/>
        <v>36000</v>
      </c>
      <c r="AX9" s="26">
        <f t="shared" si="10"/>
        <v>36000</v>
      </c>
      <c r="AY9" s="26">
        <f t="shared" si="10"/>
        <v>36000</v>
      </c>
      <c r="AZ9" s="26">
        <f t="shared" si="10"/>
        <v>36000</v>
      </c>
    </row>
    <row r="10" spans="1:52" x14ac:dyDescent="0.2">
      <c r="B10" s="73"/>
      <c r="C10" s="137" t="s">
        <v>495</v>
      </c>
      <c r="D10" s="199"/>
      <c r="E10" s="199"/>
      <c r="F10" s="199"/>
      <c r="G10" s="199"/>
      <c r="H10" s="54"/>
      <c r="I10" s="54"/>
      <c r="J10" s="69" t="s">
        <v>2</v>
      </c>
      <c r="K10" s="41">
        <f>IF(K5&gt;=144001,0.25*K7-36000,0)</f>
        <v>0</v>
      </c>
      <c r="L10" s="174">
        <f t="shared" si="4"/>
        <v>0</v>
      </c>
      <c r="M10" s="41"/>
      <c r="N10" s="55"/>
      <c r="O10" s="54"/>
      <c r="V10" s="26">
        <f>K10</f>
        <v>0</v>
      </c>
      <c r="W10" s="26">
        <f t="shared" si="2"/>
        <v>0</v>
      </c>
      <c r="X10" s="26">
        <f t="shared" si="2"/>
        <v>0</v>
      </c>
      <c r="Y10" s="26">
        <f t="shared" si="2"/>
        <v>0</v>
      </c>
      <c r="Z10" s="26">
        <f t="shared" si="2"/>
        <v>0</v>
      </c>
      <c r="AA10" s="26">
        <f t="shared" si="2"/>
        <v>0</v>
      </c>
      <c r="AB10" s="26">
        <f t="shared" si="2"/>
        <v>0</v>
      </c>
      <c r="AC10" s="26">
        <f t="shared" si="2"/>
        <v>0</v>
      </c>
      <c r="AD10" s="26">
        <f t="shared" si="2"/>
        <v>0</v>
      </c>
      <c r="AE10" s="26">
        <f t="shared" ref="AE10:AZ10" si="11">AD10</f>
        <v>0</v>
      </c>
      <c r="AF10" s="26">
        <f t="shared" si="11"/>
        <v>0</v>
      </c>
      <c r="AG10" s="26">
        <f t="shared" si="11"/>
        <v>0</v>
      </c>
      <c r="AH10" s="26">
        <f t="shared" si="11"/>
        <v>0</v>
      </c>
      <c r="AI10" s="26">
        <f t="shared" si="11"/>
        <v>0</v>
      </c>
      <c r="AJ10" s="26">
        <f t="shared" si="11"/>
        <v>0</v>
      </c>
      <c r="AK10" s="26">
        <f t="shared" si="11"/>
        <v>0</v>
      </c>
      <c r="AL10" s="26">
        <f t="shared" si="11"/>
        <v>0</v>
      </c>
      <c r="AM10" s="26">
        <f t="shared" si="11"/>
        <v>0</v>
      </c>
      <c r="AN10" s="26">
        <f t="shared" si="11"/>
        <v>0</v>
      </c>
      <c r="AO10" s="26">
        <f t="shared" si="11"/>
        <v>0</v>
      </c>
      <c r="AP10" s="26">
        <f t="shared" si="11"/>
        <v>0</v>
      </c>
      <c r="AQ10" s="26">
        <f t="shared" si="11"/>
        <v>0</v>
      </c>
      <c r="AR10" s="26">
        <f t="shared" si="11"/>
        <v>0</v>
      </c>
      <c r="AS10" s="26">
        <f t="shared" si="11"/>
        <v>0</v>
      </c>
      <c r="AT10" s="26">
        <f t="shared" si="11"/>
        <v>0</v>
      </c>
      <c r="AU10" s="26">
        <f t="shared" si="11"/>
        <v>0</v>
      </c>
      <c r="AV10" s="26">
        <f t="shared" si="11"/>
        <v>0</v>
      </c>
      <c r="AW10" s="26">
        <f t="shared" si="11"/>
        <v>0</v>
      </c>
      <c r="AX10" s="26">
        <f t="shared" si="11"/>
        <v>0</v>
      </c>
      <c r="AY10" s="26">
        <f t="shared" si="11"/>
        <v>0</v>
      </c>
      <c r="AZ10" s="26">
        <f t="shared" si="11"/>
        <v>0</v>
      </c>
    </row>
    <row r="11" spans="1:52" x14ac:dyDescent="0.2">
      <c r="B11" s="73" t="s">
        <v>17</v>
      </c>
      <c r="C11" s="137" t="s">
        <v>496</v>
      </c>
      <c r="D11" s="199"/>
      <c r="E11" s="199"/>
      <c r="F11" s="199"/>
      <c r="G11" s="199"/>
      <c r="H11" s="54"/>
      <c r="I11" s="54"/>
      <c r="J11" s="200"/>
      <c r="K11" s="41">
        <f>+K10+K9</f>
        <v>36000</v>
      </c>
      <c r="L11" s="174">
        <f t="shared" si="4"/>
        <v>36000</v>
      </c>
      <c r="M11" s="41">
        <f>MAX(M9:M10)</f>
        <v>36000</v>
      </c>
      <c r="N11" s="55"/>
      <c r="O11" s="54"/>
      <c r="V11" s="26">
        <f>K11</f>
        <v>36000</v>
      </c>
      <c r="W11" s="26">
        <f t="shared" si="2"/>
        <v>36000</v>
      </c>
      <c r="X11" s="26">
        <f t="shared" si="2"/>
        <v>36000</v>
      </c>
      <c r="Y11" s="26">
        <f t="shared" si="2"/>
        <v>36000</v>
      </c>
      <c r="Z11" s="26">
        <f t="shared" si="2"/>
        <v>36000</v>
      </c>
      <c r="AA11" s="26">
        <f t="shared" si="2"/>
        <v>36000</v>
      </c>
      <c r="AB11" s="26">
        <f t="shared" si="2"/>
        <v>36000</v>
      </c>
      <c r="AC11" s="26">
        <f t="shared" si="2"/>
        <v>36000</v>
      </c>
      <c r="AD11" s="26">
        <f t="shared" si="2"/>
        <v>36000</v>
      </c>
      <c r="AE11" s="26">
        <f t="shared" ref="AE11:AZ11" si="12">AD11</f>
        <v>36000</v>
      </c>
      <c r="AF11" s="26">
        <f t="shared" si="12"/>
        <v>36000</v>
      </c>
      <c r="AG11" s="26">
        <f t="shared" si="12"/>
        <v>36000</v>
      </c>
      <c r="AH11" s="26">
        <f t="shared" si="12"/>
        <v>36000</v>
      </c>
      <c r="AI11" s="26">
        <f t="shared" si="12"/>
        <v>36000</v>
      </c>
      <c r="AJ11" s="26">
        <f t="shared" si="12"/>
        <v>36000</v>
      </c>
      <c r="AK11" s="26">
        <f t="shared" si="12"/>
        <v>36000</v>
      </c>
      <c r="AL11" s="26">
        <f t="shared" si="12"/>
        <v>36000</v>
      </c>
      <c r="AM11" s="26">
        <f t="shared" si="12"/>
        <v>36000</v>
      </c>
      <c r="AN11" s="26">
        <f t="shared" si="12"/>
        <v>36000</v>
      </c>
      <c r="AO11" s="26">
        <f t="shared" si="12"/>
        <v>36000</v>
      </c>
      <c r="AP11" s="26">
        <f t="shared" si="12"/>
        <v>36000</v>
      </c>
      <c r="AQ11" s="26">
        <f t="shared" si="12"/>
        <v>36000</v>
      </c>
      <c r="AR11" s="26">
        <f t="shared" si="12"/>
        <v>36000</v>
      </c>
      <c r="AS11" s="26">
        <f t="shared" si="12"/>
        <v>36000</v>
      </c>
      <c r="AT11" s="26">
        <f t="shared" si="12"/>
        <v>36000</v>
      </c>
      <c r="AU11" s="26">
        <f t="shared" si="12"/>
        <v>36000</v>
      </c>
      <c r="AV11" s="26">
        <f t="shared" si="12"/>
        <v>36000</v>
      </c>
      <c r="AW11" s="26">
        <f t="shared" si="12"/>
        <v>36000</v>
      </c>
      <c r="AX11" s="26">
        <f t="shared" si="12"/>
        <v>36000</v>
      </c>
      <c r="AY11" s="26">
        <f t="shared" si="12"/>
        <v>36000</v>
      </c>
      <c r="AZ11" s="26">
        <f t="shared" si="12"/>
        <v>36000</v>
      </c>
    </row>
    <row r="12" spans="1:52" x14ac:dyDescent="0.2">
      <c r="B12" s="73" t="s">
        <v>18</v>
      </c>
      <c r="C12" s="66" t="s">
        <v>56</v>
      </c>
      <c r="D12" s="67"/>
      <c r="E12" s="54"/>
      <c r="F12" s="54"/>
      <c r="G12" s="54"/>
      <c r="H12" s="54"/>
      <c r="I12" s="54"/>
      <c r="J12" s="68" t="s">
        <v>11</v>
      </c>
      <c r="K12" s="258"/>
      <c r="L12" s="174">
        <f t="shared" si="4"/>
        <v>0</v>
      </c>
      <c r="M12" s="175">
        <f>K12</f>
        <v>0</v>
      </c>
      <c r="N12" s="55"/>
      <c r="O12" s="54"/>
      <c r="V12" s="217">
        <f>K12</f>
        <v>0</v>
      </c>
      <c r="W12" s="26">
        <f t="shared" si="2"/>
        <v>0</v>
      </c>
      <c r="X12" s="26">
        <f t="shared" si="2"/>
        <v>0</v>
      </c>
      <c r="Y12" s="26">
        <f t="shared" si="2"/>
        <v>0</v>
      </c>
      <c r="Z12" s="26">
        <f t="shared" si="2"/>
        <v>0</v>
      </c>
      <c r="AA12" s="26">
        <f t="shared" si="2"/>
        <v>0</v>
      </c>
      <c r="AB12" s="26">
        <f t="shared" si="2"/>
        <v>0</v>
      </c>
      <c r="AC12" s="26">
        <f t="shared" si="2"/>
        <v>0</v>
      </c>
      <c r="AD12" s="26">
        <f t="shared" si="2"/>
        <v>0</v>
      </c>
      <c r="AE12" s="26">
        <f t="shared" ref="AE12:AZ12" si="13">AD12</f>
        <v>0</v>
      </c>
      <c r="AF12" s="26">
        <f t="shared" si="13"/>
        <v>0</v>
      </c>
      <c r="AG12" s="26">
        <f t="shared" si="13"/>
        <v>0</v>
      </c>
      <c r="AH12" s="26">
        <f t="shared" si="13"/>
        <v>0</v>
      </c>
      <c r="AI12" s="26">
        <f t="shared" si="13"/>
        <v>0</v>
      </c>
      <c r="AJ12" s="26">
        <f t="shared" si="13"/>
        <v>0</v>
      </c>
      <c r="AK12" s="26">
        <f t="shared" si="13"/>
        <v>0</v>
      </c>
      <c r="AL12" s="26">
        <f t="shared" si="13"/>
        <v>0</v>
      </c>
      <c r="AM12" s="26">
        <f t="shared" si="13"/>
        <v>0</v>
      </c>
      <c r="AN12" s="26">
        <f t="shared" si="13"/>
        <v>0</v>
      </c>
      <c r="AO12" s="26">
        <f t="shared" si="13"/>
        <v>0</v>
      </c>
      <c r="AP12" s="26">
        <f t="shared" si="13"/>
        <v>0</v>
      </c>
      <c r="AQ12" s="26">
        <f t="shared" si="13"/>
        <v>0</v>
      </c>
      <c r="AR12" s="26">
        <f t="shared" si="13"/>
        <v>0</v>
      </c>
      <c r="AS12" s="26">
        <f t="shared" si="13"/>
        <v>0</v>
      </c>
      <c r="AT12" s="26">
        <f t="shared" si="13"/>
        <v>0</v>
      </c>
      <c r="AU12" s="26">
        <f t="shared" si="13"/>
        <v>0</v>
      </c>
      <c r="AV12" s="26">
        <f t="shared" si="13"/>
        <v>0</v>
      </c>
      <c r="AW12" s="26">
        <f t="shared" si="13"/>
        <v>0</v>
      </c>
      <c r="AX12" s="26">
        <f t="shared" si="13"/>
        <v>0</v>
      </c>
      <c r="AY12" s="26">
        <f t="shared" si="13"/>
        <v>0</v>
      </c>
      <c r="AZ12" s="26">
        <f t="shared" si="13"/>
        <v>0</v>
      </c>
    </row>
    <row r="13" spans="1:52" x14ac:dyDescent="0.2">
      <c r="B13" s="73" t="s">
        <v>19</v>
      </c>
      <c r="C13" s="187" t="s">
        <v>497</v>
      </c>
      <c r="D13" s="67"/>
      <c r="E13" s="54"/>
      <c r="F13" s="54"/>
      <c r="G13" s="54"/>
      <c r="H13" s="54"/>
      <c r="I13" s="54"/>
      <c r="J13" s="68" t="s">
        <v>10</v>
      </c>
      <c r="K13" s="41">
        <f>K11-K12</f>
        <v>36000</v>
      </c>
      <c r="L13" s="41">
        <f>L11-L12</f>
        <v>36000</v>
      </c>
      <c r="M13" s="41">
        <f>M11-M12</f>
        <v>36000</v>
      </c>
      <c r="O13" s="54"/>
      <c r="V13" s="26">
        <f>K13</f>
        <v>36000</v>
      </c>
      <c r="W13" s="26">
        <f t="shared" si="2"/>
        <v>36000</v>
      </c>
      <c r="X13" s="26">
        <f t="shared" si="2"/>
        <v>36000</v>
      </c>
      <c r="Y13" s="26">
        <f t="shared" si="2"/>
        <v>36000</v>
      </c>
      <c r="Z13" s="26">
        <f t="shared" si="2"/>
        <v>36000</v>
      </c>
      <c r="AA13" s="26">
        <f t="shared" si="2"/>
        <v>36000</v>
      </c>
      <c r="AB13" s="26">
        <f t="shared" si="2"/>
        <v>36000</v>
      </c>
      <c r="AC13" s="26">
        <f t="shared" si="2"/>
        <v>36000</v>
      </c>
      <c r="AD13" s="26">
        <f t="shared" si="2"/>
        <v>36000</v>
      </c>
      <c r="AE13" s="26">
        <f t="shared" ref="AE13:AZ13" si="14">AD13</f>
        <v>36000</v>
      </c>
      <c r="AF13" s="26">
        <f t="shared" si="14"/>
        <v>36000</v>
      </c>
      <c r="AG13" s="26">
        <f t="shared" si="14"/>
        <v>36000</v>
      </c>
      <c r="AH13" s="26">
        <f t="shared" si="14"/>
        <v>36000</v>
      </c>
      <c r="AI13" s="26">
        <f t="shared" si="14"/>
        <v>36000</v>
      </c>
      <c r="AJ13" s="26">
        <f t="shared" si="14"/>
        <v>36000</v>
      </c>
      <c r="AK13" s="26">
        <f t="shared" si="14"/>
        <v>36000</v>
      </c>
      <c r="AL13" s="26">
        <f t="shared" si="14"/>
        <v>36000</v>
      </c>
      <c r="AM13" s="26">
        <f t="shared" si="14"/>
        <v>36000</v>
      </c>
      <c r="AN13" s="26">
        <f t="shared" si="14"/>
        <v>36000</v>
      </c>
      <c r="AO13" s="26">
        <f t="shared" si="14"/>
        <v>36000</v>
      </c>
      <c r="AP13" s="26">
        <f t="shared" si="14"/>
        <v>36000</v>
      </c>
      <c r="AQ13" s="26">
        <f t="shared" si="14"/>
        <v>36000</v>
      </c>
      <c r="AR13" s="26">
        <f t="shared" si="14"/>
        <v>36000</v>
      </c>
      <c r="AS13" s="26">
        <f t="shared" si="14"/>
        <v>36000</v>
      </c>
      <c r="AT13" s="26">
        <f t="shared" si="14"/>
        <v>36000</v>
      </c>
      <c r="AU13" s="26">
        <f t="shared" si="14"/>
        <v>36000</v>
      </c>
      <c r="AV13" s="26">
        <f t="shared" si="14"/>
        <v>36000</v>
      </c>
      <c r="AW13" s="26">
        <f t="shared" si="14"/>
        <v>36000</v>
      </c>
      <c r="AX13" s="26">
        <f t="shared" si="14"/>
        <v>36000</v>
      </c>
      <c r="AY13" s="26">
        <f t="shared" si="14"/>
        <v>36000</v>
      </c>
      <c r="AZ13" s="26">
        <f t="shared" si="14"/>
        <v>36000</v>
      </c>
    </row>
    <row r="14" spans="1:52" ht="12.75" x14ac:dyDescent="0.2">
      <c r="A14" s="29"/>
      <c r="B14" s="334" t="s">
        <v>6</v>
      </c>
      <c r="C14" s="335"/>
      <c r="D14" s="335"/>
      <c r="E14" s="335"/>
      <c r="F14" s="335"/>
      <c r="G14" s="335"/>
      <c r="H14" s="335"/>
      <c r="I14" s="335"/>
      <c r="J14" s="335"/>
      <c r="K14" s="336"/>
      <c r="L14" s="334"/>
      <c r="M14" s="335"/>
      <c r="O14" s="54"/>
    </row>
    <row r="15" spans="1:52" x14ac:dyDescent="0.2">
      <c r="A15" s="29"/>
      <c r="B15" s="73" t="s">
        <v>21</v>
      </c>
      <c r="C15" s="137" t="s">
        <v>493</v>
      </c>
      <c r="D15" s="54"/>
      <c r="E15" s="54"/>
      <c r="F15" s="54"/>
      <c r="G15" s="54"/>
      <c r="H15" s="54"/>
      <c r="I15" s="78" t="s">
        <v>513</v>
      </c>
      <c r="J15" s="78" t="s">
        <v>514</v>
      </c>
      <c r="K15" s="43">
        <f>IF(K30-K13&gt;0,K30-K13,0)</f>
        <v>0</v>
      </c>
      <c r="L15" s="43">
        <f>IF(L13&lt;L30,L30-L13,0)</f>
        <v>0</v>
      </c>
      <c r="M15" s="43">
        <f>IF(M13&lt;M11,M11-M13,0)</f>
        <v>0</v>
      </c>
      <c r="N15" s="57">
        <f>IF(ISERROR(K15/K5),0,K15/K5)</f>
        <v>0</v>
      </c>
      <c r="O15" s="54"/>
      <c r="V15" s="26"/>
      <c r="W15" s="26">
        <f>V30-W13</f>
        <v>-36000</v>
      </c>
      <c r="X15" s="26">
        <f t="shared" ref="X15:AD15" si="15">W30-X13</f>
        <v>-27000</v>
      </c>
      <c r="Y15" s="26">
        <f t="shared" si="15"/>
        <v>-29250</v>
      </c>
      <c r="Z15" s="26">
        <f t="shared" si="15"/>
        <v>-28687.5</v>
      </c>
      <c r="AA15" s="26">
        <f t="shared" si="15"/>
        <v>-28828.125</v>
      </c>
      <c r="AB15" s="26">
        <f t="shared" si="15"/>
        <v>-28792.96875</v>
      </c>
      <c r="AC15" s="26">
        <f t="shared" si="15"/>
        <v>-28801.7578125</v>
      </c>
      <c r="AD15" s="26">
        <f t="shared" si="15"/>
        <v>-28799.560546875</v>
      </c>
      <c r="AE15" s="26">
        <f t="shared" ref="AE15:AZ15" si="16">AD30-AE13</f>
        <v>-28800.10986328125</v>
      </c>
      <c r="AF15" s="26">
        <f t="shared" si="16"/>
        <v>-28799.972534179688</v>
      </c>
      <c r="AG15" s="26">
        <f t="shared" si="16"/>
        <v>-28800.006866455078</v>
      </c>
      <c r="AH15" s="26">
        <f t="shared" si="16"/>
        <v>-28799.99828338623</v>
      </c>
      <c r="AI15" s="26">
        <f t="shared" si="16"/>
        <v>-28800.000429153442</v>
      </c>
      <c r="AJ15" s="26">
        <f t="shared" si="16"/>
        <v>-28799.999892711639</v>
      </c>
      <c r="AK15" s="26">
        <f t="shared" si="16"/>
        <v>-28800.00002682209</v>
      </c>
      <c r="AL15" s="26">
        <f t="shared" si="16"/>
        <v>-28799.999993294477</v>
      </c>
      <c r="AM15" s="26">
        <f t="shared" si="16"/>
        <v>-28800.000001676381</v>
      </c>
      <c r="AN15" s="26">
        <f t="shared" si="16"/>
        <v>-28799.999999580905</v>
      </c>
      <c r="AO15" s="26">
        <f t="shared" si="16"/>
        <v>-28800.000000104774</v>
      </c>
      <c r="AP15" s="26">
        <f t="shared" si="16"/>
        <v>-28799.999999973807</v>
      </c>
      <c r="AQ15" s="26">
        <f t="shared" si="16"/>
        <v>-28800.000000006548</v>
      </c>
      <c r="AR15" s="26">
        <f t="shared" si="16"/>
        <v>-28799.999999998363</v>
      </c>
      <c r="AS15" s="26">
        <f t="shared" si="16"/>
        <v>-28800.000000000407</v>
      </c>
      <c r="AT15" s="26">
        <f t="shared" si="16"/>
        <v>-28799.999999999898</v>
      </c>
      <c r="AU15" s="26">
        <f t="shared" si="16"/>
        <v>-28800.000000000025</v>
      </c>
      <c r="AV15" s="26">
        <f t="shared" si="16"/>
        <v>-28799.999999999993</v>
      </c>
      <c r="AW15" s="26">
        <f t="shared" si="16"/>
        <v>-28800</v>
      </c>
      <c r="AX15" s="26">
        <f t="shared" si="16"/>
        <v>-28800</v>
      </c>
      <c r="AY15" s="26">
        <f t="shared" si="16"/>
        <v>-28800</v>
      </c>
      <c r="AZ15" s="26">
        <f t="shared" si="16"/>
        <v>-28800</v>
      </c>
    </row>
    <row r="16" spans="1:52" x14ac:dyDescent="0.2">
      <c r="A16" s="29"/>
      <c r="B16" s="73" t="s">
        <v>22</v>
      </c>
      <c r="C16" s="63" t="s">
        <v>55</v>
      </c>
      <c r="D16" s="54"/>
      <c r="E16" s="54"/>
      <c r="F16" s="54"/>
      <c r="G16" s="54"/>
      <c r="H16" s="54"/>
      <c r="I16" s="78" t="s">
        <v>377</v>
      </c>
      <c r="J16" s="64" t="s">
        <v>31</v>
      </c>
      <c r="K16" s="218">
        <f>IF(K4&lt;K3,K3-K4,0)</f>
        <v>0</v>
      </c>
      <c r="L16" s="74">
        <f>IF(L4&lt;L3,L3-L4,0)</f>
        <v>0</v>
      </c>
      <c r="M16" s="74">
        <f>IF(M4&lt;M3,M3-M4,0)</f>
        <v>0</v>
      </c>
      <c r="N16" s="55"/>
      <c r="O16" s="54"/>
      <c r="V16" s="26"/>
      <c r="W16">
        <f>IF(W2-W3&gt;0,W2-W3,0)</f>
        <v>0</v>
      </c>
      <c r="X16">
        <f t="shared" ref="X16:AD16" si="17">IF(X2-X3&gt;0,X2-X3,0)</f>
        <v>0</v>
      </c>
      <c r="Y16">
        <f t="shared" si="17"/>
        <v>0</v>
      </c>
      <c r="Z16">
        <f t="shared" si="17"/>
        <v>0</v>
      </c>
      <c r="AA16">
        <f t="shared" si="17"/>
        <v>0</v>
      </c>
      <c r="AB16">
        <f t="shared" si="17"/>
        <v>0</v>
      </c>
      <c r="AC16">
        <f t="shared" si="17"/>
        <v>0</v>
      </c>
      <c r="AD16">
        <f t="shared" si="17"/>
        <v>0</v>
      </c>
      <c r="AE16">
        <f t="shared" ref="AE16:AZ16" si="18">IF(AE2-AE3&gt;0,AE2-AE3,0)</f>
        <v>0</v>
      </c>
      <c r="AF16">
        <f t="shared" si="18"/>
        <v>0</v>
      </c>
      <c r="AG16">
        <f t="shared" si="18"/>
        <v>0</v>
      </c>
      <c r="AH16">
        <f t="shared" si="18"/>
        <v>0</v>
      </c>
      <c r="AI16">
        <f t="shared" si="18"/>
        <v>0</v>
      </c>
      <c r="AJ16">
        <f t="shared" si="18"/>
        <v>0</v>
      </c>
      <c r="AK16">
        <f t="shared" si="18"/>
        <v>0</v>
      </c>
      <c r="AL16">
        <f t="shared" si="18"/>
        <v>0</v>
      </c>
      <c r="AM16">
        <f t="shared" si="18"/>
        <v>0</v>
      </c>
      <c r="AN16">
        <f t="shared" si="18"/>
        <v>0</v>
      </c>
      <c r="AO16">
        <f t="shared" si="18"/>
        <v>0</v>
      </c>
      <c r="AP16">
        <f t="shared" si="18"/>
        <v>0</v>
      </c>
      <c r="AQ16">
        <f t="shared" si="18"/>
        <v>0</v>
      </c>
      <c r="AR16">
        <f t="shared" si="18"/>
        <v>0</v>
      </c>
      <c r="AS16">
        <f t="shared" si="18"/>
        <v>0</v>
      </c>
      <c r="AT16">
        <f t="shared" si="18"/>
        <v>0</v>
      </c>
      <c r="AU16">
        <f t="shared" si="18"/>
        <v>0</v>
      </c>
      <c r="AV16">
        <f t="shared" si="18"/>
        <v>0</v>
      </c>
      <c r="AW16">
        <f t="shared" si="18"/>
        <v>0</v>
      </c>
      <c r="AX16">
        <f t="shared" si="18"/>
        <v>0</v>
      </c>
      <c r="AY16">
        <f t="shared" si="18"/>
        <v>0</v>
      </c>
      <c r="AZ16">
        <f t="shared" si="18"/>
        <v>0</v>
      </c>
    </row>
    <row r="17" spans="1:52" x14ac:dyDescent="0.2">
      <c r="A17" s="29"/>
      <c r="B17" s="73" t="s">
        <v>23</v>
      </c>
      <c r="C17" s="75" t="s">
        <v>7</v>
      </c>
      <c r="D17" s="76"/>
      <c r="E17" s="54"/>
      <c r="F17" s="54"/>
      <c r="G17" s="54"/>
      <c r="H17" s="54"/>
      <c r="I17" s="54"/>
      <c r="J17" s="189" t="s">
        <v>507</v>
      </c>
      <c r="K17" s="43">
        <f>SUM(K15:K16)</f>
        <v>0</v>
      </c>
      <c r="L17" s="43">
        <f>SUM(L15:L16)</f>
        <v>0</v>
      </c>
      <c r="M17" s="43">
        <f>SUM(M15:M16)</f>
        <v>0</v>
      </c>
      <c r="N17" s="55"/>
      <c r="O17" s="54"/>
      <c r="P17" s="212"/>
      <c r="V17" s="26"/>
      <c r="W17" s="26">
        <f>W15+W16</f>
        <v>-36000</v>
      </c>
      <c r="X17" s="26">
        <f t="shared" ref="X17:AD17" si="19">X15+X16</f>
        <v>-27000</v>
      </c>
      <c r="Y17" s="26">
        <f t="shared" si="19"/>
        <v>-29250</v>
      </c>
      <c r="Z17" s="26">
        <f t="shared" si="19"/>
        <v>-28687.5</v>
      </c>
      <c r="AA17" s="26">
        <f t="shared" si="19"/>
        <v>-28828.125</v>
      </c>
      <c r="AB17" s="26">
        <f t="shared" si="19"/>
        <v>-28792.96875</v>
      </c>
      <c r="AC17" s="26">
        <f t="shared" si="19"/>
        <v>-28801.7578125</v>
      </c>
      <c r="AD17" s="26">
        <f t="shared" si="19"/>
        <v>-28799.560546875</v>
      </c>
      <c r="AE17" s="26">
        <f t="shared" ref="AE17:AZ17" si="20">AE15+AE16</f>
        <v>-28800.10986328125</v>
      </c>
      <c r="AF17" s="26">
        <f t="shared" si="20"/>
        <v>-28799.972534179688</v>
      </c>
      <c r="AG17" s="26">
        <f t="shared" si="20"/>
        <v>-28800.006866455078</v>
      </c>
      <c r="AH17" s="26">
        <f t="shared" si="20"/>
        <v>-28799.99828338623</v>
      </c>
      <c r="AI17" s="26">
        <f t="shared" si="20"/>
        <v>-28800.000429153442</v>
      </c>
      <c r="AJ17" s="26">
        <f t="shared" si="20"/>
        <v>-28799.999892711639</v>
      </c>
      <c r="AK17" s="26">
        <f t="shared" si="20"/>
        <v>-28800.00002682209</v>
      </c>
      <c r="AL17" s="26">
        <f t="shared" si="20"/>
        <v>-28799.999993294477</v>
      </c>
      <c r="AM17" s="26">
        <f t="shared" si="20"/>
        <v>-28800.000001676381</v>
      </c>
      <c r="AN17" s="26">
        <f t="shared" si="20"/>
        <v>-28799.999999580905</v>
      </c>
      <c r="AO17" s="26">
        <f t="shared" si="20"/>
        <v>-28800.000000104774</v>
      </c>
      <c r="AP17" s="26">
        <f t="shared" si="20"/>
        <v>-28799.999999973807</v>
      </c>
      <c r="AQ17" s="26">
        <f t="shared" si="20"/>
        <v>-28800.000000006548</v>
      </c>
      <c r="AR17" s="26">
        <f t="shared" si="20"/>
        <v>-28799.999999998363</v>
      </c>
      <c r="AS17" s="26">
        <f t="shared" si="20"/>
        <v>-28800.000000000407</v>
      </c>
      <c r="AT17" s="26">
        <f t="shared" si="20"/>
        <v>-28799.999999999898</v>
      </c>
      <c r="AU17" s="26">
        <f t="shared" si="20"/>
        <v>-28800.000000000025</v>
      </c>
      <c r="AV17" s="26">
        <f t="shared" si="20"/>
        <v>-28799.999999999993</v>
      </c>
      <c r="AW17" s="26">
        <f t="shared" si="20"/>
        <v>-28800</v>
      </c>
      <c r="AX17" s="26">
        <f t="shared" si="20"/>
        <v>-28800</v>
      </c>
      <c r="AY17" s="26">
        <f t="shared" si="20"/>
        <v>-28800</v>
      </c>
      <c r="AZ17" s="26">
        <f t="shared" si="20"/>
        <v>-28800</v>
      </c>
    </row>
    <row r="18" spans="1:52" x14ac:dyDescent="0.2">
      <c r="A18" s="29"/>
      <c r="B18" s="73" t="s">
        <v>24</v>
      </c>
      <c r="C18" s="77" t="s">
        <v>469</v>
      </c>
      <c r="D18" s="76"/>
      <c r="E18" s="54"/>
      <c r="F18" s="54"/>
      <c r="I18" s="219"/>
      <c r="J18" s="78"/>
      <c r="K18" s="259"/>
      <c r="L18" s="43">
        <f>K18</f>
        <v>0</v>
      </c>
      <c r="M18" s="65">
        <f>K18</f>
        <v>0</v>
      </c>
      <c r="N18" s="55"/>
      <c r="P18" s="220" t="str">
        <f>"(estimated minimum = "&amp; IF(K28=0,0,ROUNDUP(AZ18,2)) &amp;")"</f>
        <v>(estimated minimum = 0)</v>
      </c>
      <c r="V18" s="217"/>
      <c r="W18" s="217"/>
      <c r="X18" s="217">
        <f>W18-W19</f>
        <v>-36000</v>
      </c>
      <c r="Y18" s="217">
        <f t="shared" ref="Y18:AD18" si="21">X18-X19</f>
        <v>-27000</v>
      </c>
      <c r="Z18" s="217">
        <f t="shared" si="21"/>
        <v>-29250</v>
      </c>
      <c r="AA18" s="217">
        <f t="shared" si="21"/>
        <v>-28687.5</v>
      </c>
      <c r="AB18" s="217">
        <f t="shared" si="21"/>
        <v>-28828.125</v>
      </c>
      <c r="AC18" s="217">
        <f t="shared" si="21"/>
        <v>-28792.96875</v>
      </c>
      <c r="AD18" s="217">
        <f t="shared" si="21"/>
        <v>-28801.7578125</v>
      </c>
      <c r="AE18" s="217">
        <f t="shared" ref="AE18:AZ18" si="22">AD18-AD19</f>
        <v>-28799.560546875</v>
      </c>
      <c r="AF18" s="217">
        <f t="shared" si="22"/>
        <v>-28800.10986328125</v>
      </c>
      <c r="AG18" s="217">
        <f t="shared" si="22"/>
        <v>-28799.972534179688</v>
      </c>
      <c r="AH18" s="217">
        <f t="shared" si="22"/>
        <v>-28800.006866455078</v>
      </c>
      <c r="AI18" s="217">
        <f t="shared" si="22"/>
        <v>-28799.99828338623</v>
      </c>
      <c r="AJ18" s="217">
        <f t="shared" si="22"/>
        <v>-28800.000429153442</v>
      </c>
      <c r="AK18" s="217">
        <f t="shared" si="22"/>
        <v>-28799.999892711639</v>
      </c>
      <c r="AL18" s="217">
        <f t="shared" si="22"/>
        <v>-28800.00002682209</v>
      </c>
      <c r="AM18" s="217">
        <f t="shared" si="22"/>
        <v>-28799.999993294477</v>
      </c>
      <c r="AN18" s="217">
        <f t="shared" si="22"/>
        <v>-28800.000001676381</v>
      </c>
      <c r="AO18" s="217">
        <f t="shared" si="22"/>
        <v>-28799.999999580905</v>
      </c>
      <c r="AP18" s="217">
        <f t="shared" si="22"/>
        <v>-28800.000000104774</v>
      </c>
      <c r="AQ18" s="217">
        <f t="shared" si="22"/>
        <v>-28799.999999973807</v>
      </c>
      <c r="AR18" s="217">
        <f t="shared" si="22"/>
        <v>-28800.000000006548</v>
      </c>
      <c r="AS18" s="217">
        <f t="shared" si="22"/>
        <v>-28799.999999998363</v>
      </c>
      <c r="AT18" s="217">
        <f t="shared" si="22"/>
        <v>-28800.000000000407</v>
      </c>
      <c r="AU18" s="217">
        <f t="shared" si="22"/>
        <v>-28799.999999999898</v>
      </c>
      <c r="AV18" s="217">
        <f t="shared" si="22"/>
        <v>-28800.000000000025</v>
      </c>
      <c r="AW18" s="217">
        <f t="shared" si="22"/>
        <v>-28799.999999999993</v>
      </c>
      <c r="AX18" s="217">
        <f t="shared" si="22"/>
        <v>-28799.999999999993</v>
      </c>
      <c r="AY18" s="217">
        <f t="shared" si="22"/>
        <v>-28799.999999999993</v>
      </c>
      <c r="AZ18" s="217">
        <f t="shared" si="22"/>
        <v>-28799.999999999993</v>
      </c>
    </row>
    <row r="19" spans="1:52" x14ac:dyDescent="0.2">
      <c r="A19" s="29"/>
      <c r="B19" s="73" t="s">
        <v>25</v>
      </c>
      <c r="C19" s="77" t="s">
        <v>505</v>
      </c>
      <c r="D19" s="76"/>
      <c r="E19" s="54"/>
      <c r="F19" s="54"/>
      <c r="G19" s="54"/>
      <c r="H19" s="54"/>
      <c r="I19" s="54"/>
      <c r="J19" s="171" t="s">
        <v>506</v>
      </c>
      <c r="K19" s="215">
        <f>K18-K17</f>
        <v>0</v>
      </c>
      <c r="L19" s="215">
        <f>L18-L17</f>
        <v>0</v>
      </c>
      <c r="M19" s="74">
        <f>M18-M17</f>
        <v>0</v>
      </c>
      <c r="V19" s="26"/>
      <c r="W19" s="217">
        <f>W18-W17</f>
        <v>36000</v>
      </c>
      <c r="X19" s="217">
        <f t="shared" ref="X19:AD19" si="23">X18-X17</f>
        <v>-9000</v>
      </c>
      <c r="Y19" s="217">
        <f t="shared" si="23"/>
        <v>2250</v>
      </c>
      <c r="Z19" s="217">
        <f t="shared" si="23"/>
        <v>-562.5</v>
      </c>
      <c r="AA19" s="217">
        <f t="shared" si="23"/>
        <v>140.625</v>
      </c>
      <c r="AB19" s="217">
        <f t="shared" si="23"/>
        <v>-35.15625</v>
      </c>
      <c r="AC19" s="217">
        <f t="shared" si="23"/>
        <v>8.7890625</v>
      </c>
      <c r="AD19" s="217">
        <f t="shared" si="23"/>
        <v>-2.197265625</v>
      </c>
      <c r="AE19" s="217">
        <f t="shared" ref="AE19:AZ19" si="24">AE18-AE17</f>
        <v>0.54931640625</v>
      </c>
      <c r="AF19" s="217">
        <f t="shared" si="24"/>
        <v>-0.1373291015625</v>
      </c>
      <c r="AG19" s="217">
        <f t="shared" si="24"/>
        <v>3.4332275390625E-2</v>
      </c>
      <c r="AH19" s="217">
        <f t="shared" si="24"/>
        <v>-8.58306884765625E-3</v>
      </c>
      <c r="AI19" s="217">
        <f t="shared" si="24"/>
        <v>2.1457672119140625E-3</v>
      </c>
      <c r="AJ19" s="217">
        <f t="shared" si="24"/>
        <v>-5.3644180297851563E-4</v>
      </c>
      <c r="AK19" s="217">
        <f t="shared" si="24"/>
        <v>1.3411045074462891E-4</v>
      </c>
      <c r="AL19" s="217">
        <f t="shared" si="24"/>
        <v>-3.3527612686157227E-5</v>
      </c>
      <c r="AM19" s="217">
        <f t="shared" si="24"/>
        <v>8.3819031715393066E-6</v>
      </c>
      <c r="AN19" s="217">
        <f t="shared" si="24"/>
        <v>-2.0954757928848267E-6</v>
      </c>
      <c r="AO19" s="217">
        <f t="shared" si="24"/>
        <v>5.2386894822120667E-7</v>
      </c>
      <c r="AP19" s="217">
        <f t="shared" si="24"/>
        <v>-1.3096723705530167E-7</v>
      </c>
      <c r="AQ19" s="217">
        <f t="shared" si="24"/>
        <v>3.2741809263825417E-8</v>
      </c>
      <c r="AR19" s="217">
        <f t="shared" si="24"/>
        <v>-8.1854523159563541E-9</v>
      </c>
      <c r="AS19" s="217">
        <f t="shared" si="24"/>
        <v>2.0445440895855427E-9</v>
      </c>
      <c r="AT19" s="217">
        <f t="shared" si="24"/>
        <v>-5.0931703299283981E-10</v>
      </c>
      <c r="AU19" s="217">
        <f t="shared" si="24"/>
        <v>1.2732925824820995E-10</v>
      </c>
      <c r="AV19" s="217">
        <f t="shared" si="24"/>
        <v>-3.2741809263825417E-11</v>
      </c>
      <c r="AW19" s="217">
        <f t="shared" si="24"/>
        <v>0</v>
      </c>
      <c r="AX19" s="217">
        <f t="shared" si="24"/>
        <v>0</v>
      </c>
      <c r="AY19" s="217">
        <f t="shared" si="24"/>
        <v>0</v>
      </c>
      <c r="AZ19" s="217">
        <f t="shared" si="24"/>
        <v>0</v>
      </c>
    </row>
    <row r="20" spans="1:52" x14ac:dyDescent="0.2">
      <c r="B20" s="73" t="s">
        <v>26</v>
      </c>
      <c r="C20" s="75" t="s">
        <v>4</v>
      </c>
      <c r="D20" s="76"/>
      <c r="E20" s="54"/>
      <c r="F20" s="54"/>
      <c r="G20" s="54"/>
      <c r="H20" s="54"/>
      <c r="I20" s="54"/>
      <c r="J20" s="189" t="s">
        <v>508</v>
      </c>
      <c r="K20" s="214">
        <f>K18</f>
        <v>0</v>
      </c>
      <c r="L20" s="43">
        <f>L18</f>
        <v>0</v>
      </c>
      <c r="M20" s="42">
        <f>MAX(M17:M18)</f>
        <v>0</v>
      </c>
      <c r="N20" s="59">
        <f>IF(ISERROR(K20/K3),0,K20/K3)</f>
        <v>0</v>
      </c>
      <c r="O20" s="54" t="s">
        <v>70</v>
      </c>
      <c r="V20" s="26"/>
      <c r="W20" s="26">
        <f>W17+W19</f>
        <v>0</v>
      </c>
      <c r="X20" s="26">
        <f t="shared" ref="X20:AD20" si="25">X17+X19</f>
        <v>-36000</v>
      </c>
      <c r="Y20" s="26">
        <f t="shared" si="25"/>
        <v>-27000</v>
      </c>
      <c r="Z20" s="26">
        <f t="shared" si="25"/>
        <v>-29250</v>
      </c>
      <c r="AA20" s="26">
        <f t="shared" si="25"/>
        <v>-28687.5</v>
      </c>
      <c r="AB20" s="26">
        <f t="shared" si="25"/>
        <v>-28828.125</v>
      </c>
      <c r="AC20" s="26">
        <f t="shared" si="25"/>
        <v>-28792.96875</v>
      </c>
      <c r="AD20" s="26">
        <f t="shared" si="25"/>
        <v>-28801.7578125</v>
      </c>
      <c r="AE20" s="26">
        <f t="shared" ref="AE20:AZ20" si="26">AE17+AE19</f>
        <v>-28799.560546875</v>
      </c>
      <c r="AF20" s="26">
        <f t="shared" si="26"/>
        <v>-28800.10986328125</v>
      </c>
      <c r="AG20" s="26">
        <f t="shared" si="26"/>
        <v>-28799.972534179688</v>
      </c>
      <c r="AH20" s="26">
        <f t="shared" si="26"/>
        <v>-28800.006866455078</v>
      </c>
      <c r="AI20" s="26">
        <f t="shared" si="26"/>
        <v>-28799.99828338623</v>
      </c>
      <c r="AJ20" s="26">
        <f t="shared" si="26"/>
        <v>-28800.000429153442</v>
      </c>
      <c r="AK20" s="26">
        <f t="shared" si="26"/>
        <v>-28799.999892711639</v>
      </c>
      <c r="AL20" s="26">
        <f t="shared" si="26"/>
        <v>-28800.00002682209</v>
      </c>
      <c r="AM20" s="26">
        <f t="shared" si="26"/>
        <v>-28799.999993294477</v>
      </c>
      <c r="AN20" s="26">
        <f t="shared" si="26"/>
        <v>-28800.000001676381</v>
      </c>
      <c r="AO20" s="26">
        <f t="shared" si="26"/>
        <v>-28799.999999580905</v>
      </c>
      <c r="AP20" s="26">
        <f t="shared" si="26"/>
        <v>-28800.000000104774</v>
      </c>
      <c r="AQ20" s="26">
        <f t="shared" si="26"/>
        <v>-28799.999999973807</v>
      </c>
      <c r="AR20" s="26">
        <f t="shared" si="26"/>
        <v>-28800.000000006548</v>
      </c>
      <c r="AS20" s="26">
        <f t="shared" si="26"/>
        <v>-28799.999999998363</v>
      </c>
      <c r="AT20" s="26">
        <f t="shared" si="26"/>
        <v>-28800.000000000407</v>
      </c>
      <c r="AU20" s="26">
        <f t="shared" si="26"/>
        <v>-28799.999999999898</v>
      </c>
      <c r="AV20" s="26">
        <f t="shared" si="26"/>
        <v>-28800.000000000025</v>
      </c>
      <c r="AW20" s="26">
        <f t="shared" si="26"/>
        <v>-28800</v>
      </c>
      <c r="AX20" s="26">
        <f t="shared" si="26"/>
        <v>-28800</v>
      </c>
      <c r="AY20" s="26">
        <f t="shared" si="26"/>
        <v>-28800</v>
      </c>
      <c r="AZ20" s="26">
        <f t="shared" si="26"/>
        <v>-28800</v>
      </c>
    </row>
    <row r="21" spans="1:52" ht="12.75" x14ac:dyDescent="0.2">
      <c r="A21" s="29"/>
      <c r="B21" s="334" t="s">
        <v>8</v>
      </c>
      <c r="C21" s="335"/>
      <c r="D21" s="335"/>
      <c r="E21" s="335"/>
      <c r="F21" s="335"/>
      <c r="G21" s="335"/>
      <c r="H21" s="335"/>
      <c r="I21" s="335"/>
      <c r="J21" s="335"/>
      <c r="K21" s="336"/>
      <c r="L21" s="169"/>
      <c r="M21" s="169"/>
      <c r="N21" s="183"/>
      <c r="V21" s="26"/>
    </row>
    <row r="22" spans="1:52" x14ac:dyDescent="0.2">
      <c r="A22" s="29"/>
      <c r="B22" s="73" t="s">
        <v>27</v>
      </c>
      <c r="C22" s="77" t="s">
        <v>471</v>
      </c>
      <c r="D22" s="76"/>
      <c r="E22" s="54"/>
      <c r="F22" s="54"/>
      <c r="G22" s="54"/>
      <c r="H22" s="54"/>
      <c r="J22" s="78" t="s">
        <v>498</v>
      </c>
      <c r="K22" s="44">
        <f>K5-K18</f>
        <v>0</v>
      </c>
      <c r="L22" s="44">
        <f>L5-L18</f>
        <v>0</v>
      </c>
      <c r="M22" s="44">
        <f>IF(M20&lt;M17,"Error",M5-M20)</f>
        <v>0</v>
      </c>
      <c r="N22" s="59">
        <f>IF(ISERROR(K22/K5),0,K22/K5)</f>
        <v>0</v>
      </c>
      <c r="P22" s="80" t="s">
        <v>57</v>
      </c>
      <c r="V22" s="26">
        <f>K22</f>
        <v>0</v>
      </c>
      <c r="W22" s="26">
        <f>W4-W17</f>
        <v>36000</v>
      </c>
      <c r="X22" s="26">
        <f t="shared" ref="X22:AD22" si="27">X4-X17</f>
        <v>27000</v>
      </c>
      <c r="Y22" s="26">
        <f t="shared" si="27"/>
        <v>29250</v>
      </c>
      <c r="Z22" s="26">
        <f t="shared" si="27"/>
        <v>28687.5</v>
      </c>
      <c r="AA22" s="26">
        <f t="shared" si="27"/>
        <v>28828.125</v>
      </c>
      <c r="AB22" s="26">
        <f t="shared" si="27"/>
        <v>28792.96875</v>
      </c>
      <c r="AC22" s="26">
        <f t="shared" si="27"/>
        <v>28801.7578125</v>
      </c>
      <c r="AD22" s="26">
        <f t="shared" si="27"/>
        <v>28799.560546875</v>
      </c>
      <c r="AE22" s="26">
        <f t="shared" ref="AE22:AZ22" si="28">AE4-AE17</f>
        <v>28800.10986328125</v>
      </c>
      <c r="AF22" s="26">
        <f t="shared" si="28"/>
        <v>28799.972534179688</v>
      </c>
      <c r="AG22" s="26">
        <f t="shared" si="28"/>
        <v>28800.006866455078</v>
      </c>
      <c r="AH22" s="26">
        <f t="shared" si="28"/>
        <v>28799.99828338623</v>
      </c>
      <c r="AI22" s="26">
        <f t="shared" si="28"/>
        <v>28800.000429153442</v>
      </c>
      <c r="AJ22" s="26">
        <f t="shared" si="28"/>
        <v>28799.999892711639</v>
      </c>
      <c r="AK22" s="26">
        <f t="shared" si="28"/>
        <v>28800.00002682209</v>
      </c>
      <c r="AL22" s="26">
        <f t="shared" si="28"/>
        <v>28799.999993294477</v>
      </c>
      <c r="AM22" s="26">
        <f t="shared" si="28"/>
        <v>28800.000001676381</v>
      </c>
      <c r="AN22" s="26">
        <f t="shared" si="28"/>
        <v>28799.999999580905</v>
      </c>
      <c r="AO22" s="26">
        <f t="shared" si="28"/>
        <v>28800.000000104774</v>
      </c>
      <c r="AP22" s="26">
        <f t="shared" si="28"/>
        <v>28799.999999973807</v>
      </c>
      <c r="AQ22" s="26">
        <f t="shared" si="28"/>
        <v>28800.000000006548</v>
      </c>
      <c r="AR22" s="26">
        <f t="shared" si="28"/>
        <v>28799.999999998363</v>
      </c>
      <c r="AS22" s="26">
        <f t="shared" si="28"/>
        <v>28800.000000000407</v>
      </c>
      <c r="AT22" s="26">
        <f t="shared" si="28"/>
        <v>28799.999999999898</v>
      </c>
      <c r="AU22" s="26">
        <f t="shared" si="28"/>
        <v>28800.000000000025</v>
      </c>
      <c r="AV22" s="26">
        <f t="shared" si="28"/>
        <v>28799.999999999993</v>
      </c>
      <c r="AW22" s="26">
        <f t="shared" si="28"/>
        <v>28800</v>
      </c>
      <c r="AX22" s="26">
        <f t="shared" si="28"/>
        <v>28800</v>
      </c>
      <c r="AY22" s="26">
        <f t="shared" si="28"/>
        <v>28800</v>
      </c>
      <c r="AZ22" s="26">
        <f t="shared" si="28"/>
        <v>28800</v>
      </c>
    </row>
    <row r="23" spans="1:52" x14ac:dyDescent="0.2">
      <c r="A23" s="29"/>
      <c r="B23" s="73" t="s">
        <v>28</v>
      </c>
      <c r="C23" s="77" t="s">
        <v>3</v>
      </c>
      <c r="H23" s="82"/>
      <c r="I23" s="83"/>
      <c r="K23" s="155"/>
      <c r="L23" s="44">
        <f>K23</f>
        <v>0</v>
      </c>
      <c r="M23" s="54"/>
      <c r="N23" s="85"/>
      <c r="O23" s="80"/>
      <c r="P23" s="60"/>
      <c r="R23" s="36" t="b">
        <v>0</v>
      </c>
      <c r="S23">
        <f>IF(PUREX=TRUE,0,1)</f>
        <v>1</v>
      </c>
      <c r="V23" s="26"/>
    </row>
    <row r="24" spans="1:52" x14ac:dyDescent="0.2">
      <c r="A24" s="29"/>
      <c r="B24" s="73"/>
      <c r="C24" s="164" t="s">
        <v>389</v>
      </c>
      <c r="H24" s="82"/>
      <c r="I24" s="83"/>
      <c r="K24" s="145"/>
      <c r="L24" s="44">
        <f>K24</f>
        <v>0</v>
      </c>
      <c r="M24" s="54"/>
      <c r="R24" s="160" t="b">
        <v>0</v>
      </c>
      <c r="S24">
        <f>IF(REGMIL=TRUE, 10,20)</f>
        <v>20</v>
      </c>
      <c r="V24" s="26"/>
    </row>
    <row r="25" spans="1:52" x14ac:dyDescent="0.2">
      <c r="A25" s="29"/>
      <c r="B25" s="73"/>
      <c r="C25" s="157" t="s">
        <v>387</v>
      </c>
      <c r="D25" s="81"/>
      <c r="E25" s="152"/>
      <c r="F25" s="153"/>
      <c r="G25" s="58"/>
      <c r="H25" s="82"/>
      <c r="I25" s="83"/>
      <c r="K25" s="145"/>
      <c r="L25" s="44">
        <f>K25</f>
        <v>0</v>
      </c>
      <c r="M25" s="54"/>
      <c r="N25" s="154"/>
      <c r="O25" s="61"/>
      <c r="R25" s="160" t="b">
        <v>0</v>
      </c>
      <c r="S25">
        <f>IF(FIRST=TRUE, 100,200)</f>
        <v>200</v>
      </c>
      <c r="V25" s="26"/>
    </row>
    <row r="26" spans="1:52" x14ac:dyDescent="0.2">
      <c r="A26" s="29"/>
      <c r="B26" s="73"/>
      <c r="C26" s="157" t="s">
        <v>388</v>
      </c>
      <c r="D26" s="81"/>
      <c r="E26" s="152"/>
      <c r="F26" s="153"/>
      <c r="G26" s="58"/>
      <c r="H26" s="82"/>
      <c r="I26" s="83"/>
      <c r="J26" s="151"/>
      <c r="K26" s="156"/>
      <c r="L26" s="44">
        <f>K26</f>
        <v>0</v>
      </c>
      <c r="M26" s="46"/>
      <c r="R26" s="26">
        <f>IF(N20&gt;=10%,1000,IF(N20&gt;=5%,2000,3000))</f>
        <v>3000</v>
      </c>
      <c r="S26" s="26">
        <f>SUM(S23:S25,R26)</f>
        <v>3221</v>
      </c>
      <c r="V26" s="26"/>
    </row>
    <row r="27" spans="1:52" ht="12" thickBot="1" x14ac:dyDescent="0.25">
      <c r="B27" s="73"/>
      <c r="C27" s="77"/>
      <c r="D27" s="81" t="s">
        <v>65</v>
      </c>
      <c r="E27" s="158">
        <f>IF(PUREX=TRUE,0,VLOOKUP(S26,'County Loan Limits'!R6:T18,3,0))</f>
        <v>3.3</v>
      </c>
      <c r="F27" s="159" t="s">
        <v>311</v>
      </c>
      <c r="G27" s="40">
        <f>K22*(E27/100)</f>
        <v>0</v>
      </c>
      <c r="H27" s="82"/>
      <c r="I27" s="83"/>
      <c r="J27" s="84" t="s">
        <v>66</v>
      </c>
      <c r="K27" s="47">
        <f>IF((K22+G27)&gt;=1500000,1500000-K22,G27)</f>
        <v>0</v>
      </c>
      <c r="L27" s="44">
        <f>K27</f>
        <v>0</v>
      </c>
      <c r="M27" s="46"/>
      <c r="N27" s="59">
        <f>IF(ISERROR(K28/K5),0,K28/K5)</f>
        <v>0</v>
      </c>
      <c r="O27" s="61" t="s">
        <v>58</v>
      </c>
      <c r="V27" s="26">
        <f>K27</f>
        <v>0</v>
      </c>
      <c r="W27" s="26">
        <f>V27</f>
        <v>0</v>
      </c>
      <c r="X27" s="26">
        <f t="shared" ref="X27:AD27" si="29">W27</f>
        <v>0</v>
      </c>
      <c r="Y27" s="26">
        <f t="shared" si="29"/>
        <v>0</v>
      </c>
      <c r="Z27" s="26">
        <f t="shared" si="29"/>
        <v>0</v>
      </c>
      <c r="AA27" s="26">
        <f t="shared" si="29"/>
        <v>0</v>
      </c>
      <c r="AB27" s="26">
        <f t="shared" si="29"/>
        <v>0</v>
      </c>
      <c r="AC27" s="26">
        <f t="shared" si="29"/>
        <v>0</v>
      </c>
      <c r="AD27" s="26">
        <f t="shared" si="29"/>
        <v>0</v>
      </c>
      <c r="AE27" s="26">
        <f t="shared" ref="AE27:AZ27" si="30">AD27</f>
        <v>0</v>
      </c>
      <c r="AF27" s="26">
        <f t="shared" si="30"/>
        <v>0</v>
      </c>
      <c r="AG27" s="26">
        <f t="shared" si="30"/>
        <v>0</v>
      </c>
      <c r="AH27" s="26">
        <f t="shared" si="30"/>
        <v>0</v>
      </c>
      <c r="AI27" s="26">
        <f t="shared" si="30"/>
        <v>0</v>
      </c>
      <c r="AJ27" s="26">
        <f t="shared" si="30"/>
        <v>0</v>
      </c>
      <c r="AK27" s="26">
        <f t="shared" si="30"/>
        <v>0</v>
      </c>
      <c r="AL27" s="26">
        <f t="shared" si="30"/>
        <v>0</v>
      </c>
      <c r="AM27" s="26">
        <f t="shared" si="30"/>
        <v>0</v>
      </c>
      <c r="AN27" s="26">
        <f t="shared" si="30"/>
        <v>0</v>
      </c>
      <c r="AO27" s="26">
        <f t="shared" si="30"/>
        <v>0</v>
      </c>
      <c r="AP27" s="26">
        <f t="shared" si="30"/>
        <v>0</v>
      </c>
      <c r="AQ27" s="26">
        <f t="shared" si="30"/>
        <v>0</v>
      </c>
      <c r="AR27" s="26">
        <f t="shared" si="30"/>
        <v>0</v>
      </c>
      <c r="AS27" s="26">
        <f t="shared" si="30"/>
        <v>0</v>
      </c>
      <c r="AT27" s="26">
        <f t="shared" si="30"/>
        <v>0</v>
      </c>
      <c r="AU27" s="26">
        <f t="shared" si="30"/>
        <v>0</v>
      </c>
      <c r="AV27" s="26">
        <f t="shared" si="30"/>
        <v>0</v>
      </c>
      <c r="AW27" s="26">
        <f t="shared" si="30"/>
        <v>0</v>
      </c>
      <c r="AX27" s="26">
        <f t="shared" si="30"/>
        <v>0</v>
      </c>
      <c r="AY27" s="26">
        <f t="shared" si="30"/>
        <v>0</v>
      </c>
      <c r="AZ27" s="26">
        <f t="shared" si="30"/>
        <v>0</v>
      </c>
    </row>
    <row r="28" spans="1:52" ht="12" thickBot="1" x14ac:dyDescent="0.25">
      <c r="B28" s="86" t="s">
        <v>29</v>
      </c>
      <c r="C28" s="340" t="s">
        <v>472</v>
      </c>
      <c r="D28" s="341"/>
      <c r="E28" s="341"/>
      <c r="F28" s="341"/>
      <c r="G28" s="341"/>
      <c r="H28" s="341"/>
      <c r="I28" s="87"/>
      <c r="J28" s="138" t="s">
        <v>509</v>
      </c>
      <c r="K28" s="255">
        <f>SUM(K22,K27)</f>
        <v>0</v>
      </c>
      <c r="L28" s="44">
        <f>+L27+L22</f>
        <v>0</v>
      </c>
      <c r="M28" s="180"/>
      <c r="V28" s="26">
        <f>K28</f>
        <v>0</v>
      </c>
      <c r="W28" s="26">
        <f>+W27+W22</f>
        <v>36000</v>
      </c>
      <c r="X28" s="26">
        <f t="shared" ref="X28:AD28" si="31">+X27+X22</f>
        <v>27000</v>
      </c>
      <c r="Y28" s="26">
        <f t="shared" si="31"/>
        <v>29250</v>
      </c>
      <c r="Z28" s="26">
        <f t="shared" si="31"/>
        <v>28687.5</v>
      </c>
      <c r="AA28" s="26">
        <f t="shared" si="31"/>
        <v>28828.125</v>
      </c>
      <c r="AB28" s="26">
        <f t="shared" si="31"/>
        <v>28792.96875</v>
      </c>
      <c r="AC28" s="26">
        <f t="shared" si="31"/>
        <v>28801.7578125</v>
      </c>
      <c r="AD28" s="26">
        <f t="shared" si="31"/>
        <v>28799.560546875</v>
      </c>
      <c r="AE28" s="26">
        <f t="shared" ref="AE28:AZ28" si="32">+AE27+AE22</f>
        <v>28800.10986328125</v>
      </c>
      <c r="AF28" s="26">
        <f t="shared" si="32"/>
        <v>28799.972534179688</v>
      </c>
      <c r="AG28" s="26">
        <f t="shared" si="32"/>
        <v>28800.006866455078</v>
      </c>
      <c r="AH28" s="26">
        <f t="shared" si="32"/>
        <v>28799.99828338623</v>
      </c>
      <c r="AI28" s="26">
        <f t="shared" si="32"/>
        <v>28800.000429153442</v>
      </c>
      <c r="AJ28" s="26">
        <f t="shared" si="32"/>
        <v>28799.999892711639</v>
      </c>
      <c r="AK28" s="26">
        <f t="shared" si="32"/>
        <v>28800.00002682209</v>
      </c>
      <c r="AL28" s="26">
        <f t="shared" si="32"/>
        <v>28799.999993294477</v>
      </c>
      <c r="AM28" s="26">
        <f t="shared" si="32"/>
        <v>28800.000001676381</v>
      </c>
      <c r="AN28" s="26">
        <f t="shared" si="32"/>
        <v>28799.999999580905</v>
      </c>
      <c r="AO28" s="26">
        <f t="shared" si="32"/>
        <v>28800.000000104774</v>
      </c>
      <c r="AP28" s="26">
        <f t="shared" si="32"/>
        <v>28799.999999973807</v>
      </c>
      <c r="AQ28" s="26">
        <f t="shared" si="32"/>
        <v>28800.000000006548</v>
      </c>
      <c r="AR28" s="26">
        <f t="shared" si="32"/>
        <v>28799.999999998363</v>
      </c>
      <c r="AS28" s="26">
        <f t="shared" si="32"/>
        <v>28800.000000000407</v>
      </c>
      <c r="AT28" s="26">
        <f t="shared" si="32"/>
        <v>28799.999999999898</v>
      </c>
      <c r="AU28" s="26">
        <f t="shared" si="32"/>
        <v>28800.000000000025</v>
      </c>
      <c r="AV28" s="26">
        <f t="shared" si="32"/>
        <v>28799.999999999993</v>
      </c>
      <c r="AW28" s="26">
        <f t="shared" si="32"/>
        <v>28800</v>
      </c>
      <c r="AX28" s="26">
        <f t="shared" si="32"/>
        <v>28800</v>
      </c>
      <c r="AY28" s="26">
        <f t="shared" si="32"/>
        <v>28800</v>
      </c>
      <c r="AZ28" s="26">
        <f t="shared" si="32"/>
        <v>28800</v>
      </c>
    </row>
    <row r="29" spans="1:52" ht="13.5" thickBot="1" x14ac:dyDescent="0.25">
      <c r="B29" s="190" t="s">
        <v>491</v>
      </c>
      <c r="C29" s="191" t="s">
        <v>492</v>
      </c>
      <c r="D29" s="191"/>
      <c r="E29" s="191"/>
      <c r="F29" s="191"/>
      <c r="G29" s="191"/>
      <c r="H29" s="191"/>
      <c r="I29" s="192"/>
      <c r="J29" s="193"/>
      <c r="K29" s="194"/>
      <c r="L29" s="46"/>
      <c r="M29" s="46"/>
      <c r="R29" s="26"/>
      <c r="V29" s="26"/>
    </row>
    <row r="30" spans="1:52" x14ac:dyDescent="0.2">
      <c r="B30" s="195" t="s">
        <v>30</v>
      </c>
      <c r="C30" s="186" t="s">
        <v>489</v>
      </c>
      <c r="D30" s="186"/>
      <c r="E30" s="186"/>
      <c r="F30" s="186"/>
      <c r="G30" s="186"/>
      <c r="H30" s="186"/>
      <c r="I30" s="87"/>
      <c r="J30" s="247" t="s">
        <v>537</v>
      </c>
      <c r="K30" s="196">
        <f>0.25*K22</f>
        <v>0</v>
      </c>
      <c r="L30" s="46">
        <f>0.25*L28</f>
        <v>0</v>
      </c>
      <c r="M30" s="46"/>
      <c r="N30" s="216"/>
      <c r="P30" s="179"/>
      <c r="R30">
        <f>IF(K28&lt;=45000,0.5*K28,IF(K28&lt;=56250,22500,IF(K28&lt;=144000,MIN(0.4*K28,36000),IF(K28&lt;=417000,0.25*K28,0.25*MIN(K7,K28)))))</f>
        <v>0</v>
      </c>
      <c r="V30" s="26">
        <f>0.25*V28</f>
        <v>0</v>
      </c>
      <c r="W30" s="26">
        <f>0.25*W28</f>
        <v>9000</v>
      </c>
      <c r="X30" s="26">
        <f t="shared" ref="X30:AD30" si="33">0.25*X28</f>
        <v>6750</v>
      </c>
      <c r="Y30" s="26">
        <f t="shared" si="33"/>
        <v>7312.5</v>
      </c>
      <c r="Z30" s="26">
        <f t="shared" si="33"/>
        <v>7171.875</v>
      </c>
      <c r="AA30" s="26">
        <f t="shared" si="33"/>
        <v>7207.03125</v>
      </c>
      <c r="AB30" s="26">
        <f t="shared" si="33"/>
        <v>7198.2421875</v>
      </c>
      <c r="AC30" s="26">
        <f t="shared" si="33"/>
        <v>7200.439453125</v>
      </c>
      <c r="AD30" s="26">
        <f t="shared" si="33"/>
        <v>7199.89013671875</v>
      </c>
      <c r="AE30" s="26">
        <f t="shared" ref="AE30:AZ30" si="34">0.25*AE28</f>
        <v>7200.0274658203125</v>
      </c>
      <c r="AF30" s="26">
        <f t="shared" si="34"/>
        <v>7199.9931335449219</v>
      </c>
      <c r="AG30" s="26">
        <f t="shared" si="34"/>
        <v>7200.0017166137695</v>
      </c>
      <c r="AH30" s="26">
        <f t="shared" si="34"/>
        <v>7199.9995708465576</v>
      </c>
      <c r="AI30" s="26">
        <f t="shared" si="34"/>
        <v>7200.0001072883606</v>
      </c>
      <c r="AJ30" s="26">
        <f t="shared" si="34"/>
        <v>7199.9999731779099</v>
      </c>
      <c r="AK30" s="26">
        <f t="shared" si="34"/>
        <v>7200.0000067055225</v>
      </c>
      <c r="AL30" s="26">
        <f t="shared" si="34"/>
        <v>7199.9999983236194</v>
      </c>
      <c r="AM30" s="26">
        <f t="shared" si="34"/>
        <v>7200.0000004190952</v>
      </c>
      <c r="AN30" s="26">
        <f t="shared" si="34"/>
        <v>7199.9999998952262</v>
      </c>
      <c r="AO30" s="26">
        <f t="shared" si="34"/>
        <v>7200.0000000261934</v>
      </c>
      <c r="AP30" s="26">
        <f t="shared" si="34"/>
        <v>7199.9999999934516</v>
      </c>
      <c r="AQ30" s="26">
        <f t="shared" si="34"/>
        <v>7200.0000000016371</v>
      </c>
      <c r="AR30" s="26">
        <f t="shared" si="34"/>
        <v>7199.9999999995907</v>
      </c>
      <c r="AS30" s="26">
        <f t="shared" si="34"/>
        <v>7200.0000000001019</v>
      </c>
      <c r="AT30" s="26">
        <f t="shared" si="34"/>
        <v>7199.9999999999745</v>
      </c>
      <c r="AU30" s="26">
        <f t="shared" si="34"/>
        <v>7200.0000000000064</v>
      </c>
      <c r="AV30" s="26">
        <f t="shared" si="34"/>
        <v>7199.9999999999982</v>
      </c>
      <c r="AW30" s="26">
        <f t="shared" si="34"/>
        <v>7200</v>
      </c>
      <c r="AX30" s="26">
        <f t="shared" si="34"/>
        <v>7200</v>
      </c>
      <c r="AY30" s="26">
        <f t="shared" si="34"/>
        <v>7200</v>
      </c>
      <c r="AZ30" s="26">
        <f t="shared" si="34"/>
        <v>7200</v>
      </c>
    </row>
    <row r="31" spans="1:52" x14ac:dyDescent="0.2">
      <c r="B31" s="202"/>
      <c r="C31" s="188"/>
      <c r="D31" s="188"/>
      <c r="E31" s="188"/>
      <c r="F31" s="188"/>
      <c r="G31" s="188"/>
      <c r="H31" s="188"/>
      <c r="I31" s="79"/>
      <c r="J31" s="189"/>
      <c r="K31" s="179"/>
      <c r="L31" s="46"/>
      <c r="M31" s="46"/>
      <c r="R31" s="26">
        <f>AZ30</f>
        <v>7200</v>
      </c>
    </row>
    <row r="32" spans="1:52" ht="12.75" x14ac:dyDescent="0.2">
      <c r="B32" s="331" t="s">
        <v>69</v>
      </c>
      <c r="C32" s="332"/>
      <c r="D32" s="332"/>
      <c r="E32" s="332"/>
      <c r="F32" s="332"/>
      <c r="G32" s="332"/>
      <c r="H32" s="332"/>
      <c r="I32" s="332"/>
      <c r="J32" s="332"/>
      <c r="K32" s="333"/>
      <c r="L32" s="46"/>
      <c r="M32" s="46"/>
    </row>
    <row r="33" spans="2:13" x14ac:dyDescent="0.2">
      <c r="B33" s="62" t="s">
        <v>37</v>
      </c>
      <c r="C33" s="63" t="s">
        <v>32</v>
      </c>
      <c r="D33" s="54"/>
      <c r="E33" s="54"/>
      <c r="F33" s="54"/>
      <c r="G33" s="54"/>
      <c r="H33" s="54"/>
      <c r="I33" s="54"/>
      <c r="J33" s="64" t="s">
        <v>12</v>
      </c>
      <c r="K33" s="42">
        <f>K3</f>
        <v>0</v>
      </c>
      <c r="L33" s="178"/>
      <c r="M33" s="178"/>
    </row>
    <row r="34" spans="2:13" x14ac:dyDescent="0.2">
      <c r="B34" s="62" t="s">
        <v>38</v>
      </c>
      <c r="C34" s="45" t="s">
        <v>33</v>
      </c>
      <c r="J34" s="91"/>
      <c r="K34" s="260"/>
      <c r="L34" s="175"/>
      <c r="M34" s="175"/>
    </row>
    <row r="35" spans="2:13" x14ac:dyDescent="0.2">
      <c r="B35" s="62" t="s">
        <v>39</v>
      </c>
      <c r="C35" s="45" t="s">
        <v>35</v>
      </c>
      <c r="J35" s="91"/>
      <c r="K35" s="260"/>
      <c r="L35" s="175"/>
      <c r="M35" s="175"/>
    </row>
    <row r="36" spans="2:13" ht="12" thickBot="1" x14ac:dyDescent="0.25">
      <c r="B36" s="62" t="s">
        <v>40</v>
      </c>
      <c r="C36" s="45" t="s">
        <v>34</v>
      </c>
      <c r="J36" s="91" t="s">
        <v>67</v>
      </c>
      <c r="K36" s="47">
        <f>G27</f>
        <v>0</v>
      </c>
      <c r="L36" s="46"/>
      <c r="M36" s="46"/>
    </row>
    <row r="37" spans="2:13" ht="12" thickBot="1" x14ac:dyDescent="0.25">
      <c r="B37" s="92" t="s">
        <v>41</v>
      </c>
      <c r="C37" s="93" t="s">
        <v>36</v>
      </c>
      <c r="D37" s="93"/>
      <c r="E37" s="93"/>
      <c r="F37" s="93"/>
      <c r="G37" s="93"/>
      <c r="H37" s="93"/>
      <c r="I37" s="93"/>
      <c r="J37" s="88" t="s">
        <v>10</v>
      </c>
      <c r="K37" s="48">
        <f>SUM(K33:K36)</f>
        <v>0</v>
      </c>
      <c r="L37" s="179"/>
      <c r="M37" s="179"/>
    </row>
    <row r="38" spans="2:13" x14ac:dyDescent="0.2">
      <c r="B38" s="62" t="s">
        <v>42</v>
      </c>
      <c r="C38" s="45" t="s">
        <v>43</v>
      </c>
      <c r="J38" s="91"/>
      <c r="K38" s="260"/>
      <c r="L38" s="175"/>
      <c r="M38" s="175"/>
    </row>
    <row r="39" spans="2:13" x14ac:dyDescent="0.2">
      <c r="B39" s="62" t="s">
        <v>44</v>
      </c>
      <c r="C39" s="45" t="s">
        <v>45</v>
      </c>
      <c r="J39" s="91"/>
      <c r="K39" s="260"/>
      <c r="L39" s="175"/>
      <c r="M39" s="175"/>
    </row>
    <row r="40" spans="2:13" x14ac:dyDescent="0.2">
      <c r="B40" s="62" t="s">
        <v>46</v>
      </c>
      <c r="C40" s="45" t="s">
        <v>50</v>
      </c>
      <c r="J40" s="91" t="s">
        <v>27</v>
      </c>
      <c r="K40" s="47">
        <f>K28-K27</f>
        <v>0</v>
      </c>
      <c r="L40" s="46"/>
      <c r="M40" s="46"/>
    </row>
    <row r="41" spans="2:13" ht="12" thickBot="1" x14ac:dyDescent="0.25">
      <c r="B41" s="62" t="s">
        <v>20</v>
      </c>
      <c r="C41" s="72" t="s">
        <v>47</v>
      </c>
      <c r="I41" s="107"/>
      <c r="J41" s="91" t="s">
        <v>68</v>
      </c>
      <c r="K41" s="40">
        <f>K27</f>
        <v>0</v>
      </c>
      <c r="L41" s="46"/>
      <c r="M41" s="46"/>
    </row>
    <row r="42" spans="2:13" ht="12" thickBot="1" x14ac:dyDescent="0.25">
      <c r="B42" s="92" t="s">
        <v>48</v>
      </c>
      <c r="C42" s="93" t="s">
        <v>51</v>
      </c>
      <c r="D42" s="93"/>
      <c r="E42" s="93"/>
      <c r="F42" s="93"/>
      <c r="G42" s="93"/>
      <c r="H42" s="93"/>
      <c r="I42" s="93"/>
      <c r="J42" s="88" t="s">
        <v>10</v>
      </c>
      <c r="K42" s="49">
        <f>SUM(K38:K41)</f>
        <v>0</v>
      </c>
      <c r="L42" s="181"/>
      <c r="M42" s="181"/>
    </row>
    <row r="43" spans="2:13" ht="12" thickBot="1" x14ac:dyDescent="0.25">
      <c r="B43" s="94" t="s">
        <v>49</v>
      </c>
      <c r="C43" s="71" t="s">
        <v>52</v>
      </c>
      <c r="D43" s="71"/>
      <c r="E43" s="71"/>
      <c r="F43" s="71"/>
      <c r="G43" s="71"/>
      <c r="H43" s="71"/>
      <c r="I43" s="71"/>
      <c r="J43" s="95" t="s">
        <v>53</v>
      </c>
      <c r="K43" s="255">
        <f>K37-K42</f>
        <v>0</v>
      </c>
      <c r="L43" s="180"/>
      <c r="M43" s="180"/>
    </row>
    <row r="44" spans="2:13" ht="12.75" x14ac:dyDescent="0.2">
      <c r="B44" s="339" t="str">
        <f>IF(AND(K39="",K38="",K35="",K34="",K18="",K12="",K4="",K3=""),"",IF(OR(K39="",K38="",K35="",K34="",K18="",K12="",K4="",K3=""),"PLEASE COMPLETE FORM. All blue fields MUST be filled, where zero please enter zero.",""))</f>
        <v/>
      </c>
      <c r="C44" s="339"/>
      <c r="D44" s="339"/>
      <c r="E44" s="339"/>
      <c r="F44" s="339"/>
      <c r="G44" s="339"/>
      <c r="H44" s="339"/>
      <c r="I44" s="339"/>
      <c r="J44" s="339"/>
      <c r="K44" s="339"/>
      <c r="L44" s="170"/>
      <c r="M44" s="170"/>
    </row>
    <row r="46" spans="2:13" ht="12.75" x14ac:dyDescent="0.2">
      <c r="B46" s="331" t="s">
        <v>71</v>
      </c>
      <c r="C46" s="332"/>
      <c r="D46" s="332"/>
      <c r="E46" s="332"/>
      <c r="F46" s="96"/>
      <c r="G46" s="342" t="s">
        <v>72</v>
      </c>
      <c r="H46" s="342"/>
      <c r="I46" s="342"/>
      <c r="J46" s="342"/>
      <c r="K46" s="343"/>
      <c r="L46" s="182"/>
      <c r="M46" s="182"/>
    </row>
    <row r="47" spans="2:13" x14ac:dyDescent="0.2">
      <c r="B47" s="97"/>
      <c r="C47" s="55"/>
      <c r="D47" s="55"/>
      <c r="E47" s="55"/>
      <c r="F47" s="55"/>
      <c r="G47" s="55"/>
      <c r="H47" s="55"/>
      <c r="I47" s="55"/>
      <c r="J47" s="69"/>
      <c r="K47" s="50"/>
      <c r="L47" s="55"/>
      <c r="M47" s="55"/>
    </row>
    <row r="48" spans="2:13" x14ac:dyDescent="0.2">
      <c r="B48" s="97"/>
      <c r="C48" s="55"/>
      <c r="D48" s="55"/>
      <c r="E48" s="55"/>
      <c r="F48" s="55"/>
      <c r="G48" s="55"/>
      <c r="H48" s="55"/>
      <c r="I48" s="55"/>
      <c r="J48" s="69"/>
      <c r="K48" s="50"/>
      <c r="L48" s="55"/>
      <c r="M48" s="55"/>
    </row>
    <row r="49" spans="2:13" x14ac:dyDescent="0.2">
      <c r="B49" s="97"/>
      <c r="C49" s="55"/>
      <c r="D49" s="55"/>
      <c r="E49" s="55"/>
      <c r="F49" s="55"/>
      <c r="G49" s="55"/>
      <c r="H49" s="55"/>
      <c r="I49" s="55"/>
      <c r="J49" s="69"/>
      <c r="K49" s="50"/>
      <c r="L49" s="55"/>
      <c r="M49" s="55"/>
    </row>
    <row r="50" spans="2:13" x14ac:dyDescent="0.2">
      <c r="B50" s="97"/>
      <c r="C50" s="55"/>
      <c r="D50" s="55"/>
      <c r="E50" s="55"/>
      <c r="F50" s="55"/>
      <c r="G50" s="55"/>
      <c r="H50" s="55"/>
      <c r="I50" s="55"/>
      <c r="J50" s="69"/>
      <c r="K50" s="50"/>
      <c r="L50" s="55"/>
      <c r="M50" s="55"/>
    </row>
    <row r="51" spans="2:13" x14ac:dyDescent="0.2">
      <c r="B51" s="97"/>
      <c r="C51" s="55"/>
      <c r="D51" s="55"/>
      <c r="E51" s="55"/>
      <c r="F51" s="55"/>
      <c r="G51" s="55"/>
      <c r="H51" s="55"/>
      <c r="I51" s="55"/>
      <c r="J51" s="69"/>
      <c r="K51" s="50"/>
      <c r="L51" s="55"/>
      <c r="M51" s="55"/>
    </row>
    <row r="52" spans="2:13" x14ac:dyDescent="0.2">
      <c r="B52" s="97"/>
      <c r="C52" s="55"/>
      <c r="D52" s="55"/>
      <c r="E52" s="55"/>
      <c r="F52" s="55"/>
      <c r="G52" s="55"/>
      <c r="H52" s="55"/>
      <c r="I52" s="55"/>
      <c r="J52" s="69"/>
      <c r="K52" s="50"/>
      <c r="L52" s="55"/>
      <c r="M52" s="55"/>
    </row>
    <row r="53" spans="2:13" x14ac:dyDescent="0.2">
      <c r="B53" s="97"/>
      <c r="C53" s="55"/>
      <c r="D53" s="55"/>
      <c r="E53" s="55"/>
      <c r="F53" s="55"/>
      <c r="G53" s="55"/>
      <c r="H53" s="55"/>
      <c r="I53" s="55"/>
      <c r="J53" s="69"/>
      <c r="K53" s="50"/>
      <c r="L53" s="55"/>
      <c r="M53" s="55"/>
    </row>
    <row r="54" spans="2:13" x14ac:dyDescent="0.2">
      <c r="B54" s="97"/>
      <c r="C54" s="55"/>
      <c r="D54" s="55"/>
      <c r="E54" s="55"/>
      <c r="F54" s="55"/>
      <c r="G54" s="55"/>
      <c r="H54" s="55"/>
      <c r="I54" s="55"/>
      <c r="J54" s="69"/>
      <c r="K54" s="50"/>
      <c r="L54" s="55"/>
      <c r="M54" s="55"/>
    </row>
    <row r="55" spans="2:13" x14ac:dyDescent="0.2">
      <c r="B55" s="97"/>
      <c r="C55" s="55"/>
      <c r="D55" s="55"/>
      <c r="E55" s="55"/>
      <c r="F55" s="55"/>
      <c r="G55" s="55"/>
      <c r="H55" s="55"/>
      <c r="I55" s="55"/>
      <c r="J55" s="69"/>
      <c r="K55" s="50"/>
      <c r="L55" s="55"/>
      <c r="M55" s="55"/>
    </row>
    <row r="56" spans="2:13" x14ac:dyDescent="0.2">
      <c r="B56" s="97"/>
      <c r="C56" s="55"/>
      <c r="D56" s="55"/>
      <c r="E56" s="55"/>
      <c r="F56" s="55"/>
      <c r="G56" s="55"/>
      <c r="H56" s="55"/>
      <c r="I56" s="55"/>
      <c r="J56" s="69"/>
      <c r="K56" s="50"/>
      <c r="L56" s="55"/>
      <c r="M56" s="55"/>
    </row>
    <row r="57" spans="2:13" x14ac:dyDescent="0.2">
      <c r="B57" s="97"/>
      <c r="C57" s="55"/>
      <c r="D57" s="55"/>
      <c r="E57" s="55"/>
      <c r="F57" s="55"/>
      <c r="G57" s="55"/>
      <c r="H57" s="55"/>
      <c r="I57" s="55"/>
      <c r="J57" s="69"/>
      <c r="K57" s="50"/>
      <c r="L57" s="55"/>
      <c r="M57" s="55"/>
    </row>
    <row r="58" spans="2:13" x14ac:dyDescent="0.2">
      <c r="B58" s="97"/>
      <c r="C58" s="55"/>
      <c r="D58" s="55"/>
      <c r="E58" s="55"/>
      <c r="F58" s="55"/>
      <c r="G58" s="55"/>
      <c r="H58" s="55"/>
      <c r="I58" s="55"/>
      <c r="J58" s="69"/>
      <c r="K58" s="50"/>
      <c r="L58" s="55"/>
      <c r="M58" s="55"/>
    </row>
    <row r="59" spans="2:13" x14ac:dyDescent="0.2">
      <c r="B59" s="97"/>
      <c r="C59" s="55"/>
      <c r="D59" s="55"/>
      <c r="E59" s="55"/>
      <c r="F59" s="55"/>
      <c r="G59" s="55"/>
      <c r="H59" s="55"/>
      <c r="I59" s="55"/>
      <c r="J59" s="69"/>
      <c r="K59" s="50"/>
      <c r="L59" s="55"/>
      <c r="M59" s="55"/>
    </row>
    <row r="60" spans="2:13" x14ac:dyDescent="0.2">
      <c r="B60" s="97"/>
      <c r="C60" s="55"/>
      <c r="D60" s="55"/>
      <c r="E60" s="55"/>
      <c r="F60" s="55"/>
      <c r="G60" s="55"/>
      <c r="H60" s="55"/>
      <c r="I60" s="55"/>
      <c r="J60" s="69"/>
      <c r="K60" s="50"/>
      <c r="L60" s="55"/>
      <c r="M60" s="55"/>
    </row>
    <row r="61" spans="2:13" x14ac:dyDescent="0.2">
      <c r="B61" s="97"/>
      <c r="C61" s="53" t="s">
        <v>59</v>
      </c>
      <c r="D61" s="55"/>
      <c r="E61" s="55"/>
      <c r="F61" s="55"/>
      <c r="G61" s="55"/>
      <c r="H61" s="55"/>
      <c r="I61" s="55"/>
      <c r="J61" s="69"/>
      <c r="K61" s="50"/>
      <c r="L61" s="55"/>
      <c r="M61" s="55"/>
    </row>
    <row r="62" spans="2:13" x14ac:dyDescent="0.2">
      <c r="B62" s="97"/>
      <c r="C62" s="76" t="s">
        <v>60</v>
      </c>
      <c r="D62" s="55"/>
      <c r="E62" s="55"/>
      <c r="F62" s="55"/>
      <c r="G62" s="55"/>
      <c r="H62" s="55"/>
      <c r="I62" s="55"/>
      <c r="J62" s="69"/>
      <c r="K62" s="50"/>
      <c r="L62" s="55"/>
      <c r="M62" s="55"/>
    </row>
    <row r="63" spans="2:13" x14ac:dyDescent="0.2">
      <c r="B63" s="97"/>
      <c r="C63" s="76" t="s">
        <v>61</v>
      </c>
      <c r="D63" s="55"/>
      <c r="E63" s="55"/>
      <c r="F63" s="55"/>
      <c r="G63" s="55"/>
      <c r="H63" s="55"/>
      <c r="I63" s="55"/>
      <c r="J63" s="69"/>
      <c r="K63" s="50"/>
      <c r="L63" s="55"/>
      <c r="M63" s="55"/>
    </row>
    <row r="64" spans="2:13" x14ac:dyDescent="0.2">
      <c r="B64" s="97"/>
      <c r="C64" s="76" t="s">
        <v>62</v>
      </c>
      <c r="D64" s="55"/>
      <c r="E64" s="55"/>
      <c r="F64" s="55"/>
      <c r="G64" s="55"/>
      <c r="H64" s="55"/>
      <c r="I64" s="55"/>
      <c r="J64" s="69"/>
      <c r="K64" s="50"/>
      <c r="L64" s="55"/>
      <c r="M64" s="55"/>
    </row>
    <row r="65" spans="2:13" x14ac:dyDescent="0.2">
      <c r="B65" s="97"/>
      <c r="C65" s="98" t="s">
        <v>63</v>
      </c>
      <c r="D65" s="55"/>
      <c r="E65" s="55"/>
      <c r="F65" s="55"/>
      <c r="G65" s="55"/>
      <c r="H65" s="55"/>
      <c r="I65" s="55"/>
      <c r="J65" s="69"/>
      <c r="K65" s="50"/>
      <c r="L65" s="55"/>
      <c r="M65" s="55"/>
    </row>
    <row r="66" spans="2:13" x14ac:dyDescent="0.2">
      <c r="B66" s="97"/>
      <c r="C66" s="76" t="s">
        <v>64</v>
      </c>
      <c r="D66" s="55"/>
      <c r="E66" s="55"/>
      <c r="F66" s="55"/>
      <c r="G66" s="55"/>
      <c r="H66" s="55"/>
      <c r="I66" s="55"/>
      <c r="J66" s="69"/>
      <c r="K66" s="50"/>
      <c r="L66" s="55"/>
      <c r="M66" s="55"/>
    </row>
    <row r="67" spans="2:13" x14ac:dyDescent="0.2">
      <c r="B67" s="99"/>
      <c r="C67" s="100"/>
      <c r="D67" s="100"/>
      <c r="E67" s="100"/>
      <c r="F67" s="100"/>
      <c r="G67" s="100"/>
      <c r="H67" s="100"/>
      <c r="I67" s="100"/>
      <c r="J67" s="101"/>
      <c r="K67" s="51"/>
      <c r="L67" s="55"/>
      <c r="M67" s="55"/>
    </row>
    <row r="68" spans="2:13" x14ac:dyDescent="0.2">
      <c r="B68" s="337" t="s">
        <v>546</v>
      </c>
      <c r="C68" s="338"/>
      <c r="D68" s="338"/>
      <c r="E68" s="338"/>
      <c r="F68" s="338"/>
      <c r="G68" s="338"/>
      <c r="H68" s="338"/>
      <c r="I68" s="338"/>
      <c r="J68" s="338"/>
      <c r="K68" s="338"/>
      <c r="L68" s="168"/>
      <c r="M68" s="168"/>
    </row>
    <row r="69" spans="2:13" x14ac:dyDescent="0.2">
      <c r="B69" s="338"/>
      <c r="C69" s="338"/>
      <c r="D69" s="338"/>
      <c r="E69" s="338"/>
      <c r="F69" s="338"/>
      <c r="G69" s="338"/>
      <c r="H69" s="338"/>
      <c r="I69" s="338"/>
      <c r="J69" s="338"/>
      <c r="K69" s="338"/>
      <c r="L69" s="168"/>
      <c r="M69" s="168"/>
    </row>
    <row r="70" spans="2:13" x14ac:dyDescent="0.2">
      <c r="B70" s="338"/>
      <c r="C70" s="338"/>
      <c r="D70" s="338"/>
      <c r="E70" s="338"/>
      <c r="F70" s="338"/>
      <c r="G70" s="338"/>
      <c r="H70" s="338"/>
      <c r="I70" s="338"/>
      <c r="J70" s="338"/>
      <c r="K70" s="338"/>
      <c r="L70" s="168"/>
      <c r="M70" s="168"/>
    </row>
    <row r="71" spans="2:13" x14ac:dyDescent="0.2">
      <c r="B71" s="338"/>
      <c r="C71" s="338"/>
      <c r="D71" s="338"/>
      <c r="E71" s="338"/>
      <c r="F71" s="338"/>
      <c r="G71" s="338"/>
      <c r="H71" s="338"/>
      <c r="I71" s="338"/>
      <c r="J71" s="338"/>
      <c r="K71" s="338"/>
      <c r="L71" s="168"/>
      <c r="M71" s="168"/>
    </row>
    <row r="72" spans="2:13" x14ac:dyDescent="0.2">
      <c r="B72" s="338"/>
      <c r="C72" s="338"/>
      <c r="D72" s="338"/>
      <c r="E72" s="338"/>
      <c r="F72" s="338"/>
      <c r="G72" s="338"/>
      <c r="H72" s="338"/>
      <c r="I72" s="338"/>
      <c r="J72" s="338"/>
      <c r="K72" s="338"/>
      <c r="L72" s="168"/>
      <c r="M72" s="168"/>
    </row>
    <row r="73" spans="2:13" ht="1.5" customHeight="1" x14ac:dyDescent="0.2">
      <c r="B73" s="338"/>
      <c r="C73" s="338"/>
      <c r="D73" s="338"/>
      <c r="E73" s="338"/>
      <c r="F73" s="338"/>
      <c r="G73" s="338"/>
      <c r="H73" s="338"/>
      <c r="I73" s="338"/>
      <c r="J73" s="338"/>
      <c r="K73" s="338"/>
      <c r="L73" s="168"/>
      <c r="M73" s="168"/>
    </row>
    <row r="74" spans="2:13" ht="10.5" hidden="1" customHeight="1" x14ac:dyDescent="0.2">
      <c r="B74" s="338"/>
      <c r="C74" s="338"/>
      <c r="D74" s="338"/>
      <c r="E74" s="338"/>
      <c r="F74" s="338"/>
      <c r="G74" s="338"/>
      <c r="H74" s="338"/>
      <c r="I74" s="338"/>
      <c r="J74" s="338"/>
      <c r="K74" s="338"/>
      <c r="L74" s="168"/>
      <c r="M74" s="168"/>
    </row>
    <row r="75" spans="2:13" hidden="1" x14ac:dyDescent="0.2">
      <c r="B75" s="338"/>
      <c r="C75" s="338"/>
      <c r="D75" s="338"/>
      <c r="E75" s="338"/>
      <c r="F75" s="338"/>
      <c r="G75" s="338"/>
      <c r="H75" s="338"/>
      <c r="I75" s="338"/>
      <c r="J75" s="338"/>
      <c r="K75" s="338"/>
      <c r="L75" s="168"/>
      <c r="M75" s="168"/>
    </row>
    <row r="76" spans="2:13" hidden="1" x14ac:dyDescent="0.2">
      <c r="B76" s="338"/>
      <c r="C76" s="338"/>
      <c r="D76" s="338"/>
      <c r="E76" s="338"/>
      <c r="F76" s="338"/>
      <c r="G76" s="338"/>
      <c r="H76" s="338"/>
      <c r="I76" s="338"/>
      <c r="J76" s="338"/>
      <c r="K76" s="338"/>
      <c r="L76" s="168"/>
      <c r="M76" s="168"/>
    </row>
    <row r="77" spans="2:13" x14ac:dyDescent="0.2">
      <c r="B77" s="338"/>
      <c r="C77" s="338"/>
      <c r="D77" s="338"/>
      <c r="E77" s="338"/>
      <c r="F77" s="338"/>
      <c r="G77" s="338"/>
      <c r="H77" s="338"/>
      <c r="I77" s="338"/>
      <c r="J77" s="338"/>
      <c r="K77" s="338"/>
      <c r="L77" s="168"/>
      <c r="M77" s="168"/>
    </row>
    <row r="78" spans="2:13" x14ac:dyDescent="0.2">
      <c r="B78" s="338"/>
      <c r="C78" s="338"/>
      <c r="D78" s="338"/>
      <c r="E78" s="338"/>
      <c r="F78" s="338"/>
      <c r="G78" s="338"/>
      <c r="H78" s="338"/>
      <c r="I78" s="338"/>
      <c r="J78" s="338"/>
      <c r="K78" s="338"/>
      <c r="L78" s="168"/>
      <c r="M78" s="168"/>
    </row>
    <row r="83" spans="8:8" x14ac:dyDescent="0.2">
      <c r="H83" s="72"/>
    </row>
  </sheetData>
  <sheetProtection selectLockedCells="1"/>
  <mergeCells count="12">
    <mergeCell ref="B68:K78"/>
    <mergeCell ref="B32:K32"/>
    <mergeCell ref="B44:K44"/>
    <mergeCell ref="L14:M14"/>
    <mergeCell ref="C28:H28"/>
    <mergeCell ref="B46:E46"/>
    <mergeCell ref="G46:K46"/>
    <mergeCell ref="B1:K1"/>
    <mergeCell ref="B2:K2"/>
    <mergeCell ref="B6:K6"/>
    <mergeCell ref="B14:K14"/>
    <mergeCell ref="B21:K21"/>
  </mergeCells>
  <phoneticPr fontId="0" type="noConversion"/>
  <conditionalFormatting sqref="K19:M19">
    <cfRule type="cellIs" dxfId="6" priority="7" operator="lessThan">
      <formula>0</formula>
    </cfRule>
  </conditionalFormatting>
  <conditionalFormatting sqref="K18">
    <cfRule type="cellIs" dxfId="5" priority="6" operator="lessThan">
      <formula>$K$17</formula>
    </cfRule>
  </conditionalFormatting>
  <conditionalFormatting sqref="L22:L28 K22:M22">
    <cfRule type="containsText" dxfId="4" priority="5" operator="containsText" text="Error">
      <formula>NOT(ISERROR(SEARCH("Error",K22)))</formula>
    </cfRule>
  </conditionalFormatting>
  <dataValidations count="10">
    <dataValidation type="decimal" operator="greaterThan" allowBlank="1" showInputMessage="1" showErrorMessage="1" errorTitle="Error" error="Appraised value must be &gt; $0.00" sqref="K4 M4" xr:uid="{00000000-0002-0000-0100-000000000000}">
      <formula1>0</formula1>
    </dataValidation>
    <dataValidation type="decimal" operator="greaterThan" allowBlank="1" showInputMessage="1" showErrorMessage="1" errorTitle="Error" error="Sales price must be &gt; $0.00" sqref="K3:M3 L4 L6:L12" xr:uid="{00000000-0002-0000-0100-000001000000}">
      <formula1>0</formula1>
    </dataValidation>
    <dataValidation type="whole" operator="greaterThan" allowBlank="1" showInputMessage="1" showErrorMessage="1" errorTitle="Error" error="County limit must be a whole number &gt;$0" sqref="K7:K8 M7:M8" xr:uid="{00000000-0002-0000-0100-000002000000}">
      <formula1>0</formula1>
    </dataValidation>
    <dataValidation type="decimal" operator="greaterThanOrEqual" allowBlank="1" showInputMessage="1" showErrorMessage="1" errorTitle="Error" error="Previously Used Entitlement must be &gt;=$0.00" sqref="M12" xr:uid="{00000000-0002-0000-0100-000003000000}">
      <formula1>0</formula1>
    </dataValidation>
    <dataValidation type="decimal" operator="greaterThanOrEqual" allowBlank="1" showInputMessage="1" showErrorMessage="1" error="Value must be greater than or equal to 0." sqref="E25:E27" xr:uid="{00000000-0002-0000-0100-000004000000}">
      <formula1>0</formula1>
    </dataValidation>
    <dataValidation operator="greaterThanOrEqual" allowBlank="1" showInputMessage="1" showErrorMessage="1" error="Value must be greater than or equal to 0." sqref="F25:F27" xr:uid="{00000000-0002-0000-0100-000005000000}"/>
    <dataValidation type="decimal" operator="greaterThanOrEqual" allowBlank="1" showInputMessage="1" showErrorMessage="1" errorTitle="Error" error="Veteran's Down Payment must be equal to or greater than Required Down Payment (L). " sqref="M18" xr:uid="{00000000-0002-0000-0100-000006000000}">
      <formula1>M17</formula1>
    </dataValidation>
    <dataValidation type="decimal" operator="greaterThanOrEqual" showInputMessage="1" showErrorMessage="1" errorTitle="Error" error="Previously Used Entitlement must be &gt;=$0.00" sqref="K12" xr:uid="{00000000-0002-0000-0100-000007000000}">
      <formula1>0</formula1>
    </dataValidation>
    <dataValidation type="decimal" operator="greaterThanOrEqual" allowBlank="1" showInputMessage="1" showErrorMessage="1" errorTitle="Error" error="Value must be &gt;=$0.00" sqref="K34:M34 K38:M39" xr:uid="{00000000-0002-0000-0100-000008000000}">
      <formula1>0</formula1>
    </dataValidation>
    <dataValidation type="custom" operator="greaterThanOrEqual" showInputMessage="1" showErrorMessage="1" errorTitle="Error" error="1.  The Maximum Potential Guaranty (Line F) value must be greater than or equal to zero._x000a__x000a_2.  Veteran’s Down Payment (Line M) must be greater than or equal to the Required Down Payment (Line L)." sqref="K18" xr:uid="{00000000-0002-0000-0100-000009000000}">
      <formula1>AND(NOT(ISBLANK(K12)),K18&gt;=K17)</formula1>
    </dataValidation>
  </dataValidations>
  <hyperlinks>
    <hyperlink ref="G46:K46" r:id="rId1" display="Circular 26-11-19 (Nov 22, 2011)" xr:uid="{00000000-0004-0000-0100-000000000000}"/>
  </hyperlinks>
  <pageMargins left="0.75" right="0.75" top="1" bottom="1" header="0.5" footer="0.5"/>
  <pageSetup scale="7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8</xdr:col>
                    <xdr:colOff>1295400</xdr:colOff>
                    <xdr:row>7</xdr:row>
                    <xdr:rowOff>38100</xdr:rowOff>
                  </from>
                  <to>
                    <xdr:col>13</xdr:col>
                    <xdr:colOff>161925</xdr:colOff>
                    <xdr:row>7</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0</xdr:colOff>
                    <xdr:row>23</xdr:row>
                    <xdr:rowOff>161925</xdr:rowOff>
                  </from>
                  <to>
                    <xdr:col>2</xdr:col>
                    <xdr:colOff>238125</xdr:colOff>
                    <xdr:row>25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161925</xdr:colOff>
                    <xdr:row>24</xdr:row>
                    <xdr:rowOff>161925</xdr:rowOff>
                  </from>
                  <to>
                    <xdr:col>2</xdr:col>
                    <xdr:colOff>257175</xdr:colOff>
                    <xdr:row>26</xdr:row>
                    <xdr:rowOff>0</xdr:rowOff>
                  </to>
                </anchor>
              </controlPr>
            </control>
          </mc:Choice>
        </mc:AlternateContent>
        <mc:AlternateContent xmlns:mc="http://schemas.openxmlformats.org/markup-compatibility/2006">
          <mc:Choice Requires="x14">
            <control shapeId="1031" r:id="rId8" name="Button 7">
              <controlPr defaultSize="0" print="0" autoFill="0" autoPict="0" macro="[0]!ClearPurchase">
                <anchor moveWithCells="1" sizeWithCells="1">
                  <from>
                    <xdr:col>13</xdr:col>
                    <xdr:colOff>171450</xdr:colOff>
                    <xdr:row>1</xdr:row>
                    <xdr:rowOff>9525</xdr:rowOff>
                  </from>
                  <to>
                    <xdr:col>18</xdr:col>
                    <xdr:colOff>266700</xdr:colOff>
                    <xdr:row>3</xdr:row>
                    <xdr:rowOff>38100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0</xdr:colOff>
                    <xdr:row>22</xdr:row>
                    <xdr:rowOff>161925</xdr:rowOff>
                  </from>
                  <to>
                    <xdr:col>2</xdr:col>
                    <xdr:colOff>238125</xdr:colOff>
                    <xdr:row>24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pageSetUpPr fitToPage="1"/>
  </sheetPr>
  <dimension ref="A1:IC67"/>
  <sheetViews>
    <sheetView showGridLines="0" topLeftCell="A22" zoomScaleNormal="100" workbookViewId="0">
      <selection activeCell="B59" sqref="B59:K67"/>
    </sheetView>
  </sheetViews>
  <sheetFormatPr defaultRowHeight="11.25" x14ac:dyDescent="0.2"/>
  <cols>
    <col min="1" max="1" width="1.83203125" customWidth="1"/>
    <col min="2" max="2" width="2.5" style="13" bestFit="1" customWidth="1"/>
    <col min="3" max="3" width="14.1640625" customWidth="1"/>
    <col min="4" max="4" width="5.83203125" customWidth="1"/>
    <col min="5" max="5" width="6.6640625" customWidth="1"/>
    <col min="6" max="6" width="3.33203125" customWidth="1"/>
    <col min="7" max="7" width="11.83203125" customWidth="1"/>
    <col min="8" max="8" width="20.5" customWidth="1"/>
    <col min="9" max="9" width="32.83203125" customWidth="1"/>
    <col min="10" max="10" width="6.5" style="3" bestFit="1" customWidth="1"/>
    <col min="11" max="13" width="19.6640625" style="45" customWidth="1"/>
    <col min="14" max="14" width="12.5" hidden="1" customWidth="1"/>
    <col min="15" max="16" width="9.33203125" hidden="1" customWidth="1"/>
    <col min="17" max="17" width="13" hidden="1" customWidth="1"/>
    <col min="18" max="19" width="14.33203125" hidden="1" customWidth="1"/>
    <col min="20" max="20" width="17.5" hidden="1" customWidth="1"/>
    <col min="21" max="30" width="13" hidden="1" customWidth="1"/>
    <col min="31" max="31" width="38" hidden="1" customWidth="1"/>
    <col min="32" max="35" width="9.1640625" customWidth="1"/>
  </cols>
  <sheetData>
    <row r="1" spans="1:31" ht="15.75" x14ac:dyDescent="0.2">
      <c r="B1" s="350" t="s">
        <v>542</v>
      </c>
      <c r="C1" s="350"/>
      <c r="D1" s="350"/>
      <c r="E1" s="350"/>
      <c r="F1" s="350"/>
      <c r="G1" s="350"/>
      <c r="H1" s="350"/>
      <c r="I1" s="350"/>
      <c r="J1" s="350"/>
      <c r="K1" s="350"/>
      <c r="L1" s="235"/>
      <c r="M1" s="235"/>
    </row>
    <row r="2" spans="1:31" ht="12.75" x14ac:dyDescent="0.2">
      <c r="B2" s="345" t="s">
        <v>521</v>
      </c>
      <c r="C2" s="346"/>
      <c r="D2" s="346"/>
      <c r="E2" s="346"/>
      <c r="F2" s="346"/>
      <c r="G2" s="346"/>
      <c r="H2" s="346"/>
      <c r="I2" s="346"/>
      <c r="J2" s="346"/>
      <c r="K2" s="349"/>
      <c r="L2" s="236"/>
      <c r="M2" s="236"/>
      <c r="Q2" s="29"/>
      <c r="R2" s="29"/>
      <c r="S2" s="29"/>
      <c r="T2" s="29"/>
      <c r="U2" s="29"/>
      <c r="V2" s="29"/>
      <c r="W2" s="29"/>
      <c r="X2" s="29"/>
      <c r="Y2" s="29"/>
      <c r="Z2" s="29"/>
    </row>
    <row r="3" spans="1:31" x14ac:dyDescent="0.2">
      <c r="A3" s="29"/>
      <c r="B3" s="14" t="s">
        <v>12</v>
      </c>
      <c r="C3" s="163" t="s">
        <v>531</v>
      </c>
      <c r="D3" s="11"/>
      <c r="E3" s="2"/>
      <c r="F3" s="37"/>
      <c r="G3" s="2"/>
      <c r="H3" s="2"/>
      <c r="I3" s="2"/>
      <c r="J3" s="8"/>
      <c r="K3" s="251"/>
      <c r="L3" s="233"/>
      <c r="M3" s="233"/>
      <c r="Q3" s="26">
        <f>MIN(K4:K8)</f>
        <v>0</v>
      </c>
      <c r="R3" s="26">
        <f>Q3</f>
        <v>0</v>
      </c>
      <c r="S3" s="26">
        <f t="shared" ref="S3:X3" si="0">R3</f>
        <v>0</v>
      </c>
      <c r="T3" s="26">
        <f t="shared" si="0"/>
        <v>0</v>
      </c>
      <c r="U3" s="26">
        <f t="shared" si="0"/>
        <v>0</v>
      </c>
      <c r="V3" s="26">
        <f t="shared" si="0"/>
        <v>0</v>
      </c>
      <c r="W3" s="26">
        <f t="shared" si="0"/>
        <v>0</v>
      </c>
      <c r="X3" s="26">
        <f t="shared" si="0"/>
        <v>0</v>
      </c>
      <c r="Y3" s="26">
        <f t="shared" ref="Y3:AD3" si="1">X3</f>
        <v>0</v>
      </c>
      <c r="Z3" s="26">
        <f t="shared" si="1"/>
        <v>0</v>
      </c>
      <c r="AA3" s="26">
        <f t="shared" si="1"/>
        <v>0</v>
      </c>
      <c r="AB3" s="26">
        <f t="shared" si="1"/>
        <v>0</v>
      </c>
      <c r="AC3" s="26">
        <f t="shared" si="1"/>
        <v>0</v>
      </c>
      <c r="AD3" s="26">
        <f t="shared" si="1"/>
        <v>0</v>
      </c>
      <c r="AE3" s="26"/>
    </row>
    <row r="4" spans="1:31" x14ac:dyDescent="0.2">
      <c r="A4" s="29"/>
      <c r="B4" s="14" t="s">
        <v>13</v>
      </c>
      <c r="C4" s="221" t="s">
        <v>516</v>
      </c>
      <c r="D4" s="11"/>
      <c r="E4" s="2"/>
      <c r="F4" s="37"/>
      <c r="G4" s="2"/>
      <c r="H4" s="2"/>
      <c r="I4" s="2"/>
      <c r="J4" s="8"/>
      <c r="K4" s="43"/>
      <c r="L4" s="58"/>
      <c r="M4" s="58"/>
      <c r="Q4" s="26"/>
      <c r="R4" s="26"/>
      <c r="S4" s="26"/>
      <c r="T4" s="26"/>
      <c r="U4" s="26"/>
      <c r="V4" s="26"/>
      <c r="W4" s="26"/>
      <c r="X4" s="26"/>
      <c r="Y4" s="26"/>
      <c r="Z4" s="26"/>
      <c r="AA4" s="26"/>
      <c r="AB4" s="26"/>
      <c r="AC4" s="26"/>
      <c r="AD4" s="26"/>
      <c r="AE4" s="26"/>
    </row>
    <row r="5" spans="1:31" x14ac:dyDescent="0.2">
      <c r="A5" s="29"/>
      <c r="B5" s="222"/>
      <c r="C5" s="244" t="s">
        <v>518</v>
      </c>
      <c r="D5" s="12"/>
      <c r="E5" s="5"/>
      <c r="F5" s="223"/>
      <c r="G5" s="5"/>
      <c r="H5" s="5"/>
      <c r="I5" s="2"/>
      <c r="J5" s="8"/>
      <c r="K5" s="242" t="str">
        <f>IF(O5=TRUE,K3,"")</f>
        <v/>
      </c>
      <c r="L5" s="58"/>
      <c r="M5" s="58"/>
      <c r="O5" s="243" t="b">
        <v>0</v>
      </c>
      <c r="P5" s="5"/>
      <c r="Q5" s="26"/>
      <c r="R5" s="26"/>
      <c r="S5" s="26"/>
      <c r="T5" s="26"/>
      <c r="U5" s="26"/>
      <c r="V5" s="26"/>
      <c r="W5" s="26"/>
      <c r="X5" s="26"/>
      <c r="Y5" s="26"/>
      <c r="Z5" s="26"/>
      <c r="AA5" s="26"/>
      <c r="AB5" s="26"/>
      <c r="AC5" s="26"/>
      <c r="AD5" s="26"/>
      <c r="AE5" s="26"/>
    </row>
    <row r="6" spans="1:31" x14ac:dyDescent="0.2">
      <c r="A6" s="29"/>
      <c r="B6" s="226" t="s">
        <v>14</v>
      </c>
      <c r="C6" s="245" t="s">
        <v>517</v>
      </c>
      <c r="D6" s="11"/>
      <c r="E6" s="2"/>
      <c r="F6" s="37"/>
      <c r="G6" s="2"/>
      <c r="H6" s="2"/>
      <c r="I6" s="2"/>
      <c r="J6" s="8"/>
      <c r="K6" s="43"/>
      <c r="L6" s="58"/>
      <c r="M6" s="58"/>
      <c r="O6" s="5"/>
      <c r="P6" s="5"/>
      <c r="Q6" s="26"/>
      <c r="R6" s="26"/>
      <c r="S6" s="26"/>
      <c r="T6" s="26"/>
      <c r="U6" s="26"/>
      <c r="V6" s="26"/>
      <c r="W6" s="26"/>
      <c r="X6" s="26"/>
      <c r="Y6" s="26"/>
      <c r="Z6" s="26"/>
      <c r="AA6" s="26"/>
      <c r="AB6" s="26"/>
      <c r="AC6" s="26"/>
      <c r="AD6" s="26"/>
      <c r="AE6" s="26"/>
    </row>
    <row r="7" spans="1:31" x14ac:dyDescent="0.2">
      <c r="A7" s="29"/>
      <c r="B7" s="14"/>
      <c r="C7" s="246" t="s">
        <v>519</v>
      </c>
      <c r="D7" s="2"/>
      <c r="E7" s="197"/>
      <c r="F7" s="37"/>
      <c r="G7" s="2"/>
      <c r="H7" s="2"/>
      <c r="I7" s="2"/>
      <c r="J7" s="8"/>
      <c r="K7" s="43" t="str">
        <f>IF(O7=TRUE,0.95*K3,"")</f>
        <v/>
      </c>
      <c r="L7" s="58"/>
      <c r="M7" s="58"/>
      <c r="O7" s="36" t="b">
        <v>0</v>
      </c>
      <c r="P7" s="36"/>
      <c r="Q7" s="26"/>
      <c r="R7" s="26"/>
      <c r="S7" s="26"/>
      <c r="T7" s="26"/>
      <c r="U7" s="26"/>
      <c r="V7" s="26"/>
      <c r="W7" s="26"/>
      <c r="X7" s="26"/>
      <c r="Y7" s="26"/>
      <c r="Z7" s="26"/>
      <c r="AA7" s="26"/>
      <c r="AB7" s="26"/>
      <c r="AC7" s="26"/>
      <c r="AD7" s="26"/>
      <c r="AE7" s="26"/>
    </row>
    <row r="8" spans="1:31" x14ac:dyDescent="0.2">
      <c r="A8" s="29"/>
      <c r="B8" s="14"/>
      <c r="C8" s="246" t="s">
        <v>520</v>
      </c>
      <c r="D8" s="2"/>
      <c r="E8" s="2"/>
      <c r="F8" s="37"/>
      <c r="G8" s="2"/>
      <c r="H8" s="2"/>
      <c r="I8" s="2"/>
      <c r="J8" s="8"/>
      <c r="K8" s="43" t="str">
        <f>IF(O8=TRUE,0.9*K3,"")</f>
        <v/>
      </c>
      <c r="L8" s="58"/>
      <c r="M8" s="58"/>
      <c r="O8" s="36" t="b">
        <v>0</v>
      </c>
      <c r="P8" s="36"/>
      <c r="Q8" s="26"/>
      <c r="R8" s="26"/>
      <c r="S8" s="26"/>
      <c r="T8" s="26"/>
      <c r="U8" s="26"/>
      <c r="V8" s="26"/>
      <c r="W8" s="26"/>
      <c r="X8" s="26"/>
      <c r="Y8" s="26"/>
      <c r="Z8" s="26"/>
      <c r="AA8" s="26"/>
      <c r="AB8" s="26"/>
      <c r="AC8" s="26"/>
      <c r="AD8" s="26"/>
      <c r="AE8" s="26"/>
    </row>
    <row r="9" spans="1:31" ht="12.75" x14ac:dyDescent="0.2">
      <c r="B9" s="351" t="s">
        <v>522</v>
      </c>
      <c r="C9" s="352"/>
      <c r="D9" s="352"/>
      <c r="E9" s="352"/>
      <c r="F9" s="352"/>
      <c r="G9" s="352"/>
      <c r="H9" s="352"/>
      <c r="I9" s="352"/>
      <c r="J9" s="352"/>
      <c r="K9" s="353"/>
      <c r="L9" s="236"/>
      <c r="M9" s="236"/>
      <c r="AE9" s="26"/>
    </row>
    <row r="10" spans="1:31" x14ac:dyDescent="0.2">
      <c r="A10" s="29"/>
      <c r="B10" s="172" t="s">
        <v>15</v>
      </c>
      <c r="C10" s="137" t="s">
        <v>504</v>
      </c>
      <c r="D10" s="2"/>
      <c r="E10" s="2"/>
      <c r="F10" s="37"/>
      <c r="G10" s="2"/>
      <c r="H10" s="2"/>
      <c r="I10" s="230"/>
      <c r="J10" s="8"/>
      <c r="K10" s="41">
        <f>IF(ISERROR(VLOOKUP($O$10,'County Loan Limits'!$G$5:$J$243,3,FALSE)),417000,VLOOKUP($O$10,'County Loan Limits'!$G$5:$J$243,3,FALSE))</f>
        <v>453100</v>
      </c>
      <c r="L10" s="178"/>
      <c r="M10" s="178"/>
      <c r="O10" s="36">
        <v>1</v>
      </c>
      <c r="P10" s="36"/>
      <c r="Q10" s="160">
        <f>K10</f>
        <v>453100</v>
      </c>
      <c r="R10" s="160">
        <f>Q10</f>
        <v>453100</v>
      </c>
      <c r="S10" s="160">
        <f t="shared" ref="S10:X10" si="2">R10</f>
        <v>453100</v>
      </c>
      <c r="T10" s="160">
        <f t="shared" si="2"/>
        <v>453100</v>
      </c>
      <c r="U10" s="160">
        <f t="shared" si="2"/>
        <v>453100</v>
      </c>
      <c r="V10" s="160">
        <f t="shared" si="2"/>
        <v>453100</v>
      </c>
      <c r="W10" s="160">
        <f t="shared" si="2"/>
        <v>453100</v>
      </c>
      <c r="X10" s="160">
        <f t="shared" si="2"/>
        <v>453100</v>
      </c>
      <c r="Y10" s="160">
        <f t="shared" ref="Y10:AD10" si="3">X10</f>
        <v>453100</v>
      </c>
      <c r="Z10" s="160">
        <f t="shared" si="3"/>
        <v>453100</v>
      </c>
      <c r="AA10" s="160">
        <f t="shared" si="3"/>
        <v>453100</v>
      </c>
      <c r="AB10" s="160">
        <f t="shared" si="3"/>
        <v>453100</v>
      </c>
      <c r="AC10" s="160">
        <f t="shared" si="3"/>
        <v>453100</v>
      </c>
      <c r="AD10" s="160">
        <f t="shared" si="3"/>
        <v>453100</v>
      </c>
      <c r="AE10" s="26"/>
    </row>
    <row r="11" spans="1:31" s="45" customFormat="1" ht="21" customHeight="1" x14ac:dyDescent="0.2">
      <c r="B11" s="62"/>
      <c r="C11" s="147"/>
      <c r="D11" s="146" t="s">
        <v>378</v>
      </c>
      <c r="E11" s="54"/>
      <c r="F11" s="54"/>
      <c r="G11" s="54"/>
      <c r="H11" s="54"/>
      <c r="I11" s="148"/>
      <c r="J11" s="64"/>
      <c r="K11" s="167"/>
      <c r="L11" s="232"/>
      <c r="M11" s="232"/>
      <c r="R11" s="160">
        <f t="shared" ref="R11:W16" si="4">Q11</f>
        <v>0</v>
      </c>
      <c r="S11" s="160">
        <f t="shared" si="4"/>
        <v>0</v>
      </c>
      <c r="T11" s="160">
        <f t="shared" si="4"/>
        <v>0</v>
      </c>
      <c r="U11" s="160">
        <f t="shared" si="4"/>
        <v>0</v>
      </c>
      <c r="V11" s="160">
        <f t="shared" si="4"/>
        <v>0</v>
      </c>
      <c r="W11" s="160">
        <f t="shared" si="4"/>
        <v>0</v>
      </c>
      <c r="X11" s="160">
        <f t="shared" ref="X11:AD11" si="5">W11</f>
        <v>0</v>
      </c>
      <c r="Y11" s="160">
        <f t="shared" si="5"/>
        <v>0</v>
      </c>
      <c r="Z11" s="160">
        <f t="shared" si="5"/>
        <v>0</v>
      </c>
      <c r="AA11" s="160">
        <f t="shared" si="5"/>
        <v>0</v>
      </c>
      <c r="AB11" s="160">
        <f t="shared" si="5"/>
        <v>0</v>
      </c>
      <c r="AC11" s="160">
        <f t="shared" si="5"/>
        <v>0</v>
      </c>
      <c r="AD11" s="160">
        <f t="shared" si="5"/>
        <v>0</v>
      </c>
      <c r="AE11" s="26"/>
    </row>
    <row r="12" spans="1:31" x14ac:dyDescent="0.2">
      <c r="A12" s="29"/>
      <c r="B12" s="172" t="s">
        <v>16</v>
      </c>
      <c r="C12" s="163" t="s">
        <v>494</v>
      </c>
      <c r="D12" s="197"/>
      <c r="E12" s="197"/>
      <c r="F12" s="198"/>
      <c r="G12" s="197"/>
      <c r="H12" s="197"/>
      <c r="I12" s="2"/>
      <c r="J12" s="8"/>
      <c r="K12" s="41">
        <v>36000</v>
      </c>
      <c r="L12" s="178"/>
      <c r="M12" s="178"/>
      <c r="Q12" s="26">
        <f>K12</f>
        <v>36000</v>
      </c>
      <c r="R12" s="160">
        <f t="shared" si="4"/>
        <v>36000</v>
      </c>
      <c r="S12" s="160">
        <f t="shared" si="4"/>
        <v>36000</v>
      </c>
      <c r="T12" s="160">
        <f t="shared" si="4"/>
        <v>36000</v>
      </c>
      <c r="U12" s="160">
        <f t="shared" si="4"/>
        <v>36000</v>
      </c>
      <c r="V12" s="160">
        <f t="shared" si="4"/>
        <v>36000</v>
      </c>
      <c r="W12" s="160">
        <f t="shared" si="4"/>
        <v>36000</v>
      </c>
      <c r="X12" s="160">
        <f t="shared" ref="X12:AD12" si="6">W12</f>
        <v>36000</v>
      </c>
      <c r="Y12" s="160">
        <f t="shared" si="6"/>
        <v>36000</v>
      </c>
      <c r="Z12" s="160">
        <f t="shared" si="6"/>
        <v>36000</v>
      </c>
      <c r="AA12" s="160">
        <f t="shared" si="6"/>
        <v>36000</v>
      </c>
      <c r="AB12" s="160">
        <f t="shared" si="6"/>
        <v>36000</v>
      </c>
      <c r="AC12" s="160">
        <f t="shared" si="6"/>
        <v>36000</v>
      </c>
      <c r="AD12" s="160">
        <f t="shared" si="6"/>
        <v>36000</v>
      </c>
      <c r="AE12" s="26"/>
    </row>
    <row r="13" spans="1:31" x14ac:dyDescent="0.2">
      <c r="A13" s="29"/>
      <c r="B13" s="172" t="s">
        <v>17</v>
      </c>
      <c r="C13" s="163" t="s">
        <v>499</v>
      </c>
      <c r="D13" s="197"/>
      <c r="E13" s="197"/>
      <c r="F13" s="198"/>
      <c r="G13" s="197"/>
      <c r="H13" s="197"/>
      <c r="I13" s="2"/>
      <c r="J13" s="10" t="s">
        <v>2</v>
      </c>
      <c r="K13" s="41">
        <f>IF(K3&gt;=144001,0.25*K10-36000,0)</f>
        <v>0</v>
      </c>
      <c r="L13" s="178"/>
      <c r="M13" s="178"/>
      <c r="Q13" s="26">
        <f>K13</f>
        <v>0</v>
      </c>
      <c r="R13" s="160">
        <f t="shared" si="4"/>
        <v>0</v>
      </c>
      <c r="S13" s="160">
        <f t="shared" si="4"/>
        <v>0</v>
      </c>
      <c r="T13" s="160">
        <f t="shared" si="4"/>
        <v>0</v>
      </c>
      <c r="U13" s="160">
        <f t="shared" si="4"/>
        <v>0</v>
      </c>
      <c r="V13" s="160">
        <f t="shared" si="4"/>
        <v>0</v>
      </c>
      <c r="W13" s="160">
        <f t="shared" si="4"/>
        <v>0</v>
      </c>
      <c r="X13" s="160">
        <f t="shared" ref="X13:AD13" si="7">W13</f>
        <v>0</v>
      </c>
      <c r="Y13" s="160">
        <f t="shared" si="7"/>
        <v>0</v>
      </c>
      <c r="Z13" s="160">
        <f t="shared" si="7"/>
        <v>0</v>
      </c>
      <c r="AA13" s="160">
        <f t="shared" si="7"/>
        <v>0</v>
      </c>
      <c r="AB13" s="160">
        <f t="shared" si="7"/>
        <v>0</v>
      </c>
      <c r="AC13" s="160">
        <f t="shared" si="7"/>
        <v>0</v>
      </c>
      <c r="AD13" s="160">
        <f t="shared" si="7"/>
        <v>0</v>
      </c>
      <c r="AE13" s="26"/>
    </row>
    <row r="14" spans="1:31" x14ac:dyDescent="0.2">
      <c r="A14" s="29"/>
      <c r="B14" s="172" t="s">
        <v>18</v>
      </c>
      <c r="C14" s="201" t="s">
        <v>500</v>
      </c>
      <c r="D14" s="11"/>
      <c r="E14" s="2"/>
      <c r="F14" s="37"/>
      <c r="G14" s="2"/>
      <c r="H14" s="2"/>
      <c r="I14" s="2"/>
      <c r="J14" s="9" t="s">
        <v>523</v>
      </c>
      <c r="K14" s="213"/>
      <c r="L14" s="233"/>
      <c r="M14" s="233"/>
      <c r="Q14" s="26">
        <f>K14</f>
        <v>0</v>
      </c>
      <c r="R14" s="160">
        <f t="shared" si="4"/>
        <v>0</v>
      </c>
      <c r="S14" s="160">
        <f t="shared" si="4"/>
        <v>0</v>
      </c>
      <c r="T14" s="160">
        <f t="shared" si="4"/>
        <v>0</v>
      </c>
      <c r="U14" s="160">
        <f t="shared" si="4"/>
        <v>0</v>
      </c>
      <c r="V14" s="160">
        <f t="shared" si="4"/>
        <v>0</v>
      </c>
      <c r="W14" s="160">
        <f t="shared" si="4"/>
        <v>0</v>
      </c>
      <c r="X14" s="160">
        <f t="shared" ref="X14:AD14" si="8">W14</f>
        <v>0</v>
      </c>
      <c r="Y14" s="160">
        <f t="shared" si="8"/>
        <v>0</v>
      </c>
      <c r="Z14" s="160">
        <f t="shared" si="8"/>
        <v>0</v>
      </c>
      <c r="AA14" s="160">
        <f t="shared" si="8"/>
        <v>0</v>
      </c>
      <c r="AB14" s="160">
        <f t="shared" si="8"/>
        <v>0</v>
      </c>
      <c r="AC14" s="160">
        <f t="shared" si="8"/>
        <v>0</v>
      </c>
      <c r="AD14" s="160">
        <f t="shared" si="8"/>
        <v>0</v>
      </c>
      <c r="AE14" s="26"/>
    </row>
    <row r="15" spans="1:31" x14ac:dyDescent="0.2">
      <c r="A15" s="29"/>
      <c r="B15" s="172" t="s">
        <v>19</v>
      </c>
      <c r="C15" s="28" t="s">
        <v>501</v>
      </c>
      <c r="D15" s="11"/>
      <c r="E15" s="2"/>
      <c r="F15" s="37"/>
      <c r="G15" s="2"/>
      <c r="H15" s="2"/>
      <c r="I15" s="2"/>
      <c r="J15" s="9"/>
      <c r="K15" s="252"/>
      <c r="L15" s="233"/>
      <c r="M15" s="233"/>
      <c r="Q15" s="26">
        <f>K15</f>
        <v>0</v>
      </c>
      <c r="R15" s="160">
        <f t="shared" si="4"/>
        <v>0</v>
      </c>
      <c r="S15" s="160">
        <f t="shared" si="4"/>
        <v>0</v>
      </c>
      <c r="T15" s="160">
        <f t="shared" si="4"/>
        <v>0</v>
      </c>
      <c r="U15" s="160">
        <f t="shared" si="4"/>
        <v>0</v>
      </c>
      <c r="V15" s="160">
        <f t="shared" si="4"/>
        <v>0</v>
      </c>
      <c r="W15" s="160">
        <f t="shared" si="4"/>
        <v>0</v>
      </c>
      <c r="X15" s="160">
        <f t="shared" ref="X15:AD15" si="9">W15</f>
        <v>0</v>
      </c>
      <c r="Y15" s="160">
        <f t="shared" si="9"/>
        <v>0</v>
      </c>
      <c r="Z15" s="160">
        <f t="shared" si="9"/>
        <v>0</v>
      </c>
      <c r="AA15" s="160">
        <f t="shared" si="9"/>
        <v>0</v>
      </c>
      <c r="AB15" s="160">
        <f t="shared" si="9"/>
        <v>0</v>
      </c>
      <c r="AC15" s="160">
        <f t="shared" si="9"/>
        <v>0</v>
      </c>
      <c r="AD15" s="160">
        <f t="shared" si="9"/>
        <v>0</v>
      </c>
      <c r="AE15" s="26"/>
    </row>
    <row r="16" spans="1:31" x14ac:dyDescent="0.2">
      <c r="B16" s="172" t="s">
        <v>21</v>
      </c>
      <c r="C16" s="28" t="s">
        <v>524</v>
      </c>
      <c r="D16" s="11"/>
      <c r="E16" s="2"/>
      <c r="F16" s="37"/>
      <c r="G16" s="2"/>
      <c r="H16" s="2"/>
      <c r="I16" s="2"/>
      <c r="J16" s="228" t="s">
        <v>525</v>
      </c>
      <c r="K16" s="42">
        <f>K14-K15</f>
        <v>0</v>
      </c>
      <c r="L16" s="178"/>
      <c r="M16" s="178"/>
      <c r="Q16" s="26">
        <f>K16</f>
        <v>0</v>
      </c>
      <c r="R16" s="160">
        <f t="shared" si="4"/>
        <v>0</v>
      </c>
      <c r="S16" s="160">
        <f t="shared" si="4"/>
        <v>0</v>
      </c>
      <c r="T16" s="160">
        <f t="shared" si="4"/>
        <v>0</v>
      </c>
      <c r="U16" s="160">
        <f t="shared" si="4"/>
        <v>0</v>
      </c>
      <c r="V16" s="160">
        <f t="shared" si="4"/>
        <v>0</v>
      </c>
      <c r="W16" s="160">
        <f t="shared" si="4"/>
        <v>0</v>
      </c>
      <c r="X16" s="160">
        <f t="shared" ref="X16:AD16" si="10">W16</f>
        <v>0</v>
      </c>
      <c r="Y16" s="160">
        <f t="shared" si="10"/>
        <v>0</v>
      </c>
      <c r="Z16" s="160">
        <f t="shared" si="10"/>
        <v>0</v>
      </c>
      <c r="AA16" s="160">
        <f t="shared" si="10"/>
        <v>0</v>
      </c>
      <c r="AB16" s="160">
        <f t="shared" si="10"/>
        <v>0</v>
      </c>
      <c r="AC16" s="160">
        <f t="shared" si="10"/>
        <v>0</v>
      </c>
      <c r="AD16" s="160">
        <f t="shared" si="10"/>
        <v>0</v>
      </c>
      <c r="AE16" s="26"/>
    </row>
    <row r="17" spans="1:131" x14ac:dyDescent="0.2">
      <c r="B17" s="227" t="s">
        <v>22</v>
      </c>
      <c r="C17" s="163" t="s">
        <v>539</v>
      </c>
      <c r="D17" s="2"/>
      <c r="E17" s="2"/>
      <c r="F17" s="37"/>
      <c r="G17" s="2"/>
      <c r="H17" s="2"/>
      <c r="I17" s="31"/>
      <c r="J17" s="249" t="s">
        <v>540</v>
      </c>
      <c r="K17" s="43">
        <f>IF(O8=TRUE,IF(0.25*K8-K16&lt;=0,0,0.25*K8-K16),IF(O7=TRUE,IF(0.25*K7-K16&lt;=0,0,0.25*K7-K16),IF(O5=TRUE,IF(0.25*K5-K16&lt;=0,0,0.25*K5-K16),0)))</f>
        <v>0</v>
      </c>
      <c r="L17" s="58"/>
      <c r="M17" s="58"/>
      <c r="Q17" s="26">
        <v>0</v>
      </c>
      <c r="R17" s="26">
        <f>IF(Q27&gt;Q16,Q27-R16,0)</f>
        <v>0</v>
      </c>
      <c r="S17" s="26">
        <f t="shared" ref="S17:X17" si="11">IF(R27&gt;R16,R27-S16,0)</f>
        <v>0</v>
      </c>
      <c r="T17" s="26">
        <f t="shared" si="11"/>
        <v>0</v>
      </c>
      <c r="U17" s="26">
        <f t="shared" si="11"/>
        <v>0</v>
      </c>
      <c r="V17" s="26">
        <f t="shared" si="11"/>
        <v>0</v>
      </c>
      <c r="W17" s="26">
        <f t="shared" si="11"/>
        <v>0</v>
      </c>
      <c r="X17" s="26">
        <f t="shared" si="11"/>
        <v>0</v>
      </c>
      <c r="Y17" s="26">
        <f t="shared" ref="Y17:AD17" si="12">IF(X27&gt;X16,X27-Y16,0)</f>
        <v>0</v>
      </c>
      <c r="Z17" s="26">
        <f t="shared" si="12"/>
        <v>0</v>
      </c>
      <c r="AA17" s="26">
        <f t="shared" si="12"/>
        <v>0</v>
      </c>
      <c r="AB17" s="26">
        <f t="shared" si="12"/>
        <v>0</v>
      </c>
      <c r="AC17" s="26">
        <f t="shared" si="12"/>
        <v>0</v>
      </c>
      <c r="AD17" s="26">
        <f t="shared" si="12"/>
        <v>0</v>
      </c>
      <c r="AE17" s="26"/>
    </row>
    <row r="18" spans="1:131" ht="12.75" x14ac:dyDescent="0.2">
      <c r="B18" s="351" t="s">
        <v>526</v>
      </c>
      <c r="C18" s="352"/>
      <c r="D18" s="352"/>
      <c r="E18" s="352"/>
      <c r="F18" s="352"/>
      <c r="G18" s="352"/>
      <c r="H18" s="352"/>
      <c r="I18" s="352"/>
      <c r="J18" s="352"/>
      <c r="K18" s="353"/>
      <c r="L18" s="236"/>
      <c r="M18" s="236"/>
    </row>
    <row r="19" spans="1:131" x14ac:dyDescent="0.2">
      <c r="A19" s="29"/>
      <c r="B19" s="172" t="s">
        <v>23</v>
      </c>
      <c r="C19" s="224" t="s">
        <v>527</v>
      </c>
      <c r="D19" s="2"/>
      <c r="E19" s="2"/>
      <c r="F19" s="2"/>
      <c r="G19" s="2"/>
      <c r="H19" s="2"/>
      <c r="I19" s="2"/>
      <c r="J19" s="8"/>
      <c r="K19" s="43">
        <f>MIN(K5,K7,K8)-K17</f>
        <v>0</v>
      </c>
      <c r="L19" s="58"/>
      <c r="M19" s="58"/>
      <c r="Q19" s="26">
        <f>Q3-Q17</f>
        <v>0</v>
      </c>
      <c r="R19" s="26">
        <f>R3-R17</f>
        <v>0</v>
      </c>
      <c r="S19" s="26">
        <f t="shared" ref="S19:X19" si="13">S3-S17</f>
        <v>0</v>
      </c>
      <c r="T19" s="26">
        <f t="shared" si="13"/>
        <v>0</v>
      </c>
      <c r="U19" s="26">
        <f t="shared" si="13"/>
        <v>0</v>
      </c>
      <c r="V19" s="26">
        <f t="shared" si="13"/>
        <v>0</v>
      </c>
      <c r="W19" s="26">
        <f t="shared" si="13"/>
        <v>0</v>
      </c>
      <c r="X19" s="26">
        <f t="shared" si="13"/>
        <v>0</v>
      </c>
      <c r="Y19" s="26">
        <f t="shared" ref="Y19:AD19" si="14">Y3-Y17</f>
        <v>0</v>
      </c>
      <c r="Z19" s="26">
        <f t="shared" si="14"/>
        <v>0</v>
      </c>
      <c r="AA19" s="26">
        <f t="shared" si="14"/>
        <v>0</v>
      </c>
      <c r="AB19" s="26">
        <f t="shared" si="14"/>
        <v>0</v>
      </c>
      <c r="AC19" s="26">
        <f t="shared" si="14"/>
        <v>0</v>
      </c>
      <c r="AD19" s="26">
        <f t="shared" si="14"/>
        <v>0</v>
      </c>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row>
    <row r="20" spans="1:131" x14ac:dyDescent="0.2">
      <c r="A20" s="29"/>
      <c r="B20" s="14" t="s">
        <v>24</v>
      </c>
      <c r="C20" s="7" t="s">
        <v>3</v>
      </c>
      <c r="D20" s="2"/>
      <c r="E20" s="197"/>
      <c r="F20" s="2"/>
      <c r="G20" s="2"/>
      <c r="H20" s="1"/>
      <c r="I20" s="2"/>
      <c r="J20" s="8"/>
      <c r="K20" s="240"/>
      <c r="L20" s="58"/>
      <c r="M20" s="58"/>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row>
    <row r="21" spans="1:131" x14ac:dyDescent="0.2">
      <c r="A21" s="29"/>
      <c r="B21" s="14"/>
      <c r="C21" s="229" t="s">
        <v>389</v>
      </c>
      <c r="D21" s="2"/>
      <c r="E21" s="197"/>
      <c r="F21" s="2"/>
      <c r="G21" s="2"/>
      <c r="H21" s="1"/>
      <c r="I21" s="2"/>
      <c r="J21" s="8"/>
      <c r="K21" s="231"/>
      <c r="L21" s="58"/>
      <c r="M21" s="58"/>
      <c r="O21" s="36" t="b">
        <v>0</v>
      </c>
      <c r="P21" s="3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row>
    <row r="22" spans="1:131" x14ac:dyDescent="0.2">
      <c r="A22" s="29"/>
      <c r="B22" s="14"/>
      <c r="C22" s="157" t="s">
        <v>387</v>
      </c>
      <c r="D22" s="38"/>
      <c r="E22" s="166"/>
      <c r="F22" s="161"/>
      <c r="G22" s="58"/>
      <c r="H22" s="1"/>
      <c r="I22" s="2"/>
      <c r="J22" s="8"/>
      <c r="K22" s="231"/>
      <c r="L22" s="58"/>
      <c r="M22" s="58"/>
      <c r="O22" s="36" t="b">
        <v>0</v>
      </c>
      <c r="P22" s="3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row>
    <row r="23" spans="1:131" x14ac:dyDescent="0.2">
      <c r="A23" s="29"/>
      <c r="B23" s="14"/>
      <c r="C23" s="157" t="s">
        <v>388</v>
      </c>
      <c r="D23" s="38"/>
      <c r="E23" s="166"/>
      <c r="F23" s="161"/>
      <c r="G23" s="58"/>
      <c r="H23" s="1"/>
      <c r="I23" s="2"/>
      <c r="J23" s="8"/>
      <c r="K23" s="241"/>
      <c r="L23" s="58"/>
      <c r="M23" s="58"/>
      <c r="O23" s="36" t="b">
        <v>0</v>
      </c>
      <c r="P23" s="3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row>
    <row r="24" spans="1:131" x14ac:dyDescent="0.2">
      <c r="A24" s="29"/>
      <c r="B24" s="172"/>
      <c r="C24" s="224"/>
      <c r="D24" s="38" t="s">
        <v>528</v>
      </c>
      <c r="E24" s="162">
        <f>IF(CASHEX=TRUE,0,IF(AND(REGMILC=FALSE,FIRSTC=FALSE),3.3,IF(AND(REGMILC=FALSE,FIRSTC=TRUE),2.4,IF(AND(REGMILC=TRUE,FIRSTC=FALSE),3.3,IF(AND(REGMILC=TRUE,FIRSTC=TRUE),2.15,"")))))</f>
        <v>3.3</v>
      </c>
      <c r="F24" s="159" t="s">
        <v>311</v>
      </c>
      <c r="G24" s="40">
        <f>IFERROR(K19*(E24/100),"Error")</f>
        <v>0</v>
      </c>
      <c r="H24" s="2"/>
      <c r="I24" s="2"/>
      <c r="J24" s="9" t="s">
        <v>529</v>
      </c>
      <c r="K24" s="43">
        <f>G24</f>
        <v>0</v>
      </c>
      <c r="L24" s="58"/>
      <c r="M24" s="58"/>
      <c r="Q24" s="26">
        <f>K24</f>
        <v>0</v>
      </c>
      <c r="R24" s="26">
        <f>Q24</f>
        <v>0</v>
      </c>
      <c r="S24" s="26">
        <f t="shared" ref="S24:X24" si="15">R24</f>
        <v>0</v>
      </c>
      <c r="T24" s="26">
        <f t="shared" si="15"/>
        <v>0</v>
      </c>
      <c r="U24" s="26">
        <f t="shared" si="15"/>
        <v>0</v>
      </c>
      <c r="V24" s="26">
        <f t="shared" si="15"/>
        <v>0</v>
      </c>
      <c r="W24" s="26">
        <f t="shared" si="15"/>
        <v>0</v>
      </c>
      <c r="X24" s="26">
        <f t="shared" si="15"/>
        <v>0</v>
      </c>
      <c r="Y24" s="26">
        <f t="shared" ref="Y24:AD24" si="16">X24</f>
        <v>0</v>
      </c>
      <c r="Z24" s="26">
        <f t="shared" si="16"/>
        <v>0</v>
      </c>
      <c r="AA24" s="26">
        <f t="shared" si="16"/>
        <v>0</v>
      </c>
      <c r="AB24" s="26">
        <f t="shared" si="16"/>
        <v>0</v>
      </c>
      <c r="AC24" s="26">
        <f t="shared" si="16"/>
        <v>0</v>
      </c>
      <c r="AD24" s="26">
        <f t="shared" si="16"/>
        <v>0</v>
      </c>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row>
    <row r="25" spans="1:131" ht="12" thickBot="1" x14ac:dyDescent="0.25">
      <c r="A25" s="29"/>
      <c r="B25" s="172" t="s">
        <v>25</v>
      </c>
      <c r="C25" s="224" t="s">
        <v>536</v>
      </c>
      <c r="D25" s="2"/>
      <c r="E25" s="2"/>
      <c r="F25" s="2"/>
      <c r="G25" s="2"/>
      <c r="H25" s="2"/>
      <c r="I25" s="2"/>
      <c r="J25" s="250" t="s">
        <v>541</v>
      </c>
      <c r="K25" s="254">
        <f>K19+K24</f>
        <v>0</v>
      </c>
      <c r="L25" s="58"/>
      <c r="M25" s="58"/>
      <c r="Q25" s="26">
        <f>Q19-Q24</f>
        <v>0</v>
      </c>
      <c r="R25" s="26">
        <f>R19-R24</f>
        <v>0</v>
      </c>
      <c r="S25" s="26">
        <f t="shared" ref="S25:X25" si="17">S19-S24</f>
        <v>0</v>
      </c>
      <c r="T25" s="26">
        <f t="shared" si="17"/>
        <v>0</v>
      </c>
      <c r="U25" s="26">
        <f t="shared" si="17"/>
        <v>0</v>
      </c>
      <c r="V25" s="26">
        <f t="shared" si="17"/>
        <v>0</v>
      </c>
      <c r="W25" s="26">
        <f t="shared" si="17"/>
        <v>0</v>
      </c>
      <c r="X25" s="26">
        <f t="shared" si="17"/>
        <v>0</v>
      </c>
      <c r="Y25" s="26">
        <f t="shared" ref="Y25:AD25" si="18">Y19-Y24</f>
        <v>0</v>
      </c>
      <c r="Z25" s="26">
        <f t="shared" si="18"/>
        <v>0</v>
      </c>
      <c r="AA25" s="26">
        <f t="shared" si="18"/>
        <v>0</v>
      </c>
      <c r="AB25" s="26">
        <f t="shared" si="18"/>
        <v>0</v>
      </c>
      <c r="AC25" s="26">
        <f t="shared" si="18"/>
        <v>0</v>
      </c>
      <c r="AD25" s="26">
        <f t="shared" si="18"/>
        <v>0</v>
      </c>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row>
    <row r="26" spans="1:131" ht="11.25" customHeight="1" x14ac:dyDescent="0.2">
      <c r="A26" s="29"/>
      <c r="B26" s="210" t="s">
        <v>534</v>
      </c>
      <c r="C26" s="204" t="s">
        <v>503</v>
      </c>
      <c r="D26" s="205"/>
      <c r="E26" s="205"/>
      <c r="F26" s="206"/>
      <c r="G26" s="205"/>
      <c r="H26" s="205"/>
      <c r="I26" s="207"/>
      <c r="J26" s="208"/>
      <c r="K26" s="209"/>
      <c r="L26" s="179"/>
      <c r="M26" s="179"/>
    </row>
    <row r="27" spans="1:131" x14ac:dyDescent="0.2">
      <c r="B27" s="211" t="s">
        <v>26</v>
      </c>
      <c r="C27" s="203" t="s">
        <v>530</v>
      </c>
      <c r="D27" s="15"/>
      <c r="E27" s="15"/>
      <c r="F27" s="39"/>
      <c r="G27" s="15"/>
      <c r="H27" s="15"/>
      <c r="I27" s="105"/>
      <c r="J27" s="248" t="s">
        <v>538</v>
      </c>
      <c r="K27" s="44">
        <f>0.25*K19</f>
        <v>0</v>
      </c>
      <c r="L27" s="179"/>
      <c r="M27" s="179"/>
      <c r="Q27" s="26">
        <f>0.25*Q19</f>
        <v>0</v>
      </c>
      <c r="R27" s="26">
        <f>0.25*R19</f>
        <v>0</v>
      </c>
      <c r="S27" s="26">
        <f t="shared" ref="S27:X27" si="19">0.25*S19</f>
        <v>0</v>
      </c>
      <c r="T27" s="26">
        <f t="shared" si="19"/>
        <v>0</v>
      </c>
      <c r="U27" s="26">
        <f t="shared" si="19"/>
        <v>0</v>
      </c>
      <c r="V27" s="26">
        <f t="shared" si="19"/>
        <v>0</v>
      </c>
      <c r="W27" s="26">
        <f t="shared" si="19"/>
        <v>0</v>
      </c>
      <c r="X27" s="26">
        <f t="shared" si="19"/>
        <v>0</v>
      </c>
      <c r="Y27" s="26">
        <f t="shared" ref="Y27:AD27" si="20">0.25*Y19</f>
        <v>0</v>
      </c>
      <c r="Z27" s="26">
        <f t="shared" si="20"/>
        <v>0</v>
      </c>
      <c r="AA27" s="26">
        <f t="shared" si="20"/>
        <v>0</v>
      </c>
      <c r="AB27" s="26">
        <f t="shared" si="20"/>
        <v>0</v>
      </c>
      <c r="AC27" s="26">
        <f t="shared" si="20"/>
        <v>0</v>
      </c>
      <c r="AD27" s="26">
        <f t="shared" si="20"/>
        <v>0</v>
      </c>
    </row>
    <row r="28" spans="1:131" x14ac:dyDescent="0.2">
      <c r="B28" s="16"/>
      <c r="C28" s="2"/>
      <c r="D28" s="2"/>
      <c r="E28" s="2"/>
      <c r="F28" s="37"/>
      <c r="G28" s="2"/>
      <c r="H28" s="2"/>
      <c r="I28" s="2"/>
      <c r="J28" s="8"/>
      <c r="K28" s="46"/>
      <c r="L28" s="58"/>
      <c r="M28" s="58"/>
      <c r="P28" s="29" t="s">
        <v>535</v>
      </c>
      <c r="Q28" s="26">
        <f>Q27-Q16-Q17</f>
        <v>0</v>
      </c>
      <c r="R28" s="26">
        <f>R27-R16-R17</f>
        <v>0</v>
      </c>
      <c r="S28" s="26">
        <f t="shared" ref="S28:X28" si="21">S27-S16-S17</f>
        <v>0</v>
      </c>
      <c r="T28" s="26">
        <f t="shared" si="21"/>
        <v>0</v>
      </c>
      <c r="U28" s="26">
        <f t="shared" si="21"/>
        <v>0</v>
      </c>
      <c r="V28" s="26">
        <f t="shared" si="21"/>
        <v>0</v>
      </c>
      <c r="W28" s="26">
        <f t="shared" si="21"/>
        <v>0</v>
      </c>
      <c r="X28" s="26">
        <f t="shared" si="21"/>
        <v>0</v>
      </c>
      <c r="Y28" s="26">
        <f t="shared" ref="Y28:AD28" si="22">Y27-Y16-Y17</f>
        <v>0</v>
      </c>
      <c r="Z28" s="26">
        <f t="shared" si="22"/>
        <v>0</v>
      </c>
      <c r="AA28" s="26">
        <f t="shared" si="22"/>
        <v>0</v>
      </c>
      <c r="AB28" s="26">
        <f t="shared" si="22"/>
        <v>0</v>
      </c>
      <c r="AC28" s="26">
        <f t="shared" si="22"/>
        <v>0</v>
      </c>
      <c r="AD28" s="26">
        <f t="shared" si="22"/>
        <v>0</v>
      </c>
    </row>
    <row r="29" spans="1:131" ht="11.25" customHeight="1" x14ac:dyDescent="0.2">
      <c r="B29" s="345"/>
      <c r="C29" s="346"/>
      <c r="D29" s="346"/>
      <c r="E29" s="346"/>
      <c r="F29" s="346"/>
      <c r="G29" s="346"/>
      <c r="H29" s="346"/>
      <c r="I29" s="346"/>
      <c r="J29" s="346"/>
      <c r="K29" s="349"/>
      <c r="L29" s="236"/>
      <c r="M29" s="236"/>
    </row>
    <row r="30" spans="1:131" ht="11.25" customHeight="1" x14ac:dyDescent="0.2">
      <c r="B30" s="14" t="s">
        <v>37</v>
      </c>
      <c r="C30" s="6" t="s">
        <v>54</v>
      </c>
      <c r="D30" s="2"/>
      <c r="E30" s="2"/>
      <c r="F30" s="2"/>
      <c r="G30" s="2"/>
      <c r="H30" s="2"/>
      <c r="I30" s="2"/>
      <c r="J30" s="8"/>
      <c r="K30" s="253"/>
      <c r="L30" s="233"/>
      <c r="M30" s="233"/>
    </row>
    <row r="31" spans="1:131" ht="11.25" customHeight="1" x14ac:dyDescent="0.2">
      <c r="B31" s="14" t="s">
        <v>38</v>
      </c>
      <c r="C31" t="s">
        <v>33</v>
      </c>
      <c r="K31" s="253"/>
      <c r="L31" s="233"/>
      <c r="M31" s="233"/>
    </row>
    <row r="32" spans="1:131" ht="11.25" customHeight="1" x14ac:dyDescent="0.2">
      <c r="B32" s="14" t="s">
        <v>39</v>
      </c>
      <c r="C32" t="s">
        <v>35</v>
      </c>
      <c r="K32" s="253"/>
      <c r="L32" s="233"/>
      <c r="M32" s="233"/>
    </row>
    <row r="33" spans="2:237" ht="11.25" customHeight="1" thickBot="1" x14ac:dyDescent="0.25">
      <c r="B33" s="14" t="s">
        <v>40</v>
      </c>
      <c r="C33" t="s">
        <v>34</v>
      </c>
      <c r="J33" s="30" t="s">
        <v>532</v>
      </c>
      <c r="K33" s="47">
        <f>K24</f>
        <v>0</v>
      </c>
      <c r="L33" s="58"/>
      <c r="M33" s="58"/>
    </row>
    <row r="34" spans="2:237" ht="11.25" customHeight="1" thickBot="1" x14ac:dyDescent="0.25">
      <c r="B34" s="17" t="s">
        <v>41</v>
      </c>
      <c r="C34" s="18" t="s">
        <v>36</v>
      </c>
      <c r="D34" s="18"/>
      <c r="E34" s="18"/>
      <c r="F34" s="18"/>
      <c r="G34" s="18"/>
      <c r="H34" s="18"/>
      <c r="I34" s="18"/>
      <c r="J34" s="21" t="s">
        <v>10</v>
      </c>
      <c r="K34" s="48">
        <f>SUM(K30:K33)</f>
        <v>0</v>
      </c>
      <c r="L34" s="179"/>
      <c r="M34" s="179"/>
    </row>
    <row r="35" spans="2:237" ht="11.25" customHeight="1" x14ac:dyDescent="0.2">
      <c r="B35" s="14" t="s">
        <v>46</v>
      </c>
      <c r="C35" t="s">
        <v>50</v>
      </c>
      <c r="I35" s="32"/>
      <c r="J35" s="30" t="s">
        <v>23</v>
      </c>
      <c r="K35" s="47">
        <f>K19</f>
        <v>0</v>
      </c>
      <c r="L35" s="58"/>
      <c r="M35" s="58"/>
    </row>
    <row r="36" spans="2:237" ht="11.25" customHeight="1" thickBot="1" x14ac:dyDescent="0.25">
      <c r="B36" s="14" t="s">
        <v>20</v>
      </c>
      <c r="C36" t="s">
        <v>47</v>
      </c>
      <c r="I36" s="107"/>
      <c r="J36" s="30" t="s">
        <v>533</v>
      </c>
      <c r="K36" s="47">
        <f>-K24</f>
        <v>0</v>
      </c>
      <c r="L36" s="58"/>
      <c r="M36" s="58"/>
    </row>
    <row r="37" spans="2:237" ht="11.25" customHeight="1" thickBot="1" x14ac:dyDescent="0.25">
      <c r="B37" s="17" t="s">
        <v>48</v>
      </c>
      <c r="C37" s="18" t="s">
        <v>51</v>
      </c>
      <c r="D37" s="18"/>
      <c r="E37" s="18"/>
      <c r="F37" s="18"/>
      <c r="G37" s="18"/>
      <c r="H37" s="18"/>
      <c r="I37" s="33"/>
      <c r="J37" s="21" t="s">
        <v>10</v>
      </c>
      <c r="K37" s="49">
        <f>SUM(K35:K36)</f>
        <v>0</v>
      </c>
      <c r="L37" s="179"/>
      <c r="M37" s="179"/>
    </row>
    <row r="38" spans="2:237" ht="12" thickBot="1" x14ac:dyDescent="0.25">
      <c r="B38" s="19" t="s">
        <v>49</v>
      </c>
      <c r="C38" s="20" t="str">
        <f>IF(AND((K34-K37)&lt;0,K38&lt;&gt;0),"Cash TO Borrower",IF(AND((K34-K37)&gt;0,K38&lt;&gt;0),"Cash FROM Borrower","Cash TO/FROM Borrower"))</f>
        <v>Cash TO/FROM Borrower</v>
      </c>
      <c r="D38" s="20"/>
      <c r="E38" s="20"/>
      <c r="F38" s="20"/>
      <c r="G38" s="20"/>
      <c r="H38" s="20"/>
      <c r="I38" s="34"/>
      <c r="J38" s="139" t="s">
        <v>53</v>
      </c>
      <c r="K38" s="255">
        <f>IF(AND(O5=FALSE,O7=FALSE,O8=FALSE),0,IF(AND(OR(O7=TRUE,O8=TRUE),K3&gt;417000),0,ABS(K34-K37)))</f>
        <v>0</v>
      </c>
      <c r="L38" s="179"/>
      <c r="M38" s="179"/>
    </row>
    <row r="39" spans="2:237" x14ac:dyDescent="0.2">
      <c r="B39" s="104"/>
      <c r="C39" s="103"/>
      <c r="D39" s="2"/>
      <c r="E39" s="2"/>
      <c r="F39" s="2"/>
      <c r="G39" s="2"/>
      <c r="H39" s="2"/>
      <c r="I39" s="102"/>
      <c r="J39" s="8"/>
      <c r="K39" s="106" t="str">
        <f>IF(AND(K3&gt;0,O5=FALSE,O7=FALSE,O8=FALSE),"ERROR: Please Select Loan Type Above",IF(AND(OR(O7=TRUE,O8=TRUE),K3&gt;417000),"NOTE: Cash to borrower not allowed on Specialty High Balance Loans.",""))</f>
        <v/>
      </c>
      <c r="L39" s="234"/>
      <c r="M39" s="234"/>
    </row>
    <row r="40" spans="2:237" x14ac:dyDescent="0.2">
      <c r="B40" s="354"/>
      <c r="C40" s="354"/>
      <c r="D40" s="354"/>
      <c r="E40" s="354"/>
      <c r="F40" s="354"/>
      <c r="G40" s="354"/>
      <c r="H40" s="354"/>
      <c r="I40" s="354"/>
      <c r="J40" s="354"/>
      <c r="K40" s="354"/>
      <c r="L40" s="237"/>
      <c r="M40" s="237"/>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row>
    <row r="41" spans="2:237" ht="11.25" customHeight="1" x14ac:dyDescent="0.2">
      <c r="B41" s="345" t="s">
        <v>502</v>
      </c>
      <c r="C41" s="346"/>
      <c r="D41" s="346"/>
      <c r="E41" s="346"/>
      <c r="F41" s="35"/>
      <c r="G41" s="347" t="s">
        <v>72</v>
      </c>
      <c r="H41" s="347"/>
      <c r="I41" s="347"/>
      <c r="J41" s="347"/>
      <c r="K41" s="348"/>
      <c r="L41" s="238"/>
      <c r="M41" s="238"/>
    </row>
    <row r="42" spans="2:237" ht="11.25" customHeight="1" x14ac:dyDescent="0.2">
      <c r="B42" s="22"/>
      <c r="C42" s="5"/>
      <c r="D42" s="5"/>
      <c r="E42" s="5"/>
      <c r="F42" s="5"/>
      <c r="G42" s="5"/>
      <c r="H42" s="5"/>
      <c r="I42" s="5"/>
      <c r="J42" s="10"/>
      <c r="K42" s="50"/>
      <c r="L42" s="55"/>
      <c r="M42" s="5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row>
    <row r="43" spans="2:237" ht="11.25" customHeight="1" x14ac:dyDescent="0.2">
      <c r="B43" s="22"/>
      <c r="C43" s="5"/>
      <c r="D43" s="5"/>
      <c r="E43" s="5"/>
      <c r="F43" s="5"/>
      <c r="G43" s="5"/>
      <c r="H43" s="5"/>
      <c r="I43" s="5"/>
      <c r="J43" s="10"/>
      <c r="K43" s="50"/>
      <c r="L43" s="55"/>
      <c r="M43" s="5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row>
    <row r="44" spans="2:237" ht="11.25" customHeight="1" x14ac:dyDescent="0.2">
      <c r="B44" s="22"/>
      <c r="C44" s="5"/>
      <c r="D44" s="5"/>
      <c r="E44" s="5"/>
      <c r="F44" s="5"/>
      <c r="G44" s="5"/>
      <c r="H44" s="5"/>
      <c r="I44" s="5"/>
      <c r="J44" s="10"/>
      <c r="K44" s="50"/>
      <c r="L44" s="55"/>
      <c r="M44" s="5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row>
    <row r="45" spans="2:237" ht="11.25" customHeight="1" x14ac:dyDescent="0.2">
      <c r="B45" s="22"/>
      <c r="C45" s="5"/>
      <c r="D45" s="5"/>
      <c r="E45" s="5"/>
      <c r="F45" s="5"/>
      <c r="G45" s="5"/>
      <c r="H45" s="5"/>
      <c r="I45" s="5"/>
      <c r="J45" s="10"/>
      <c r="K45" s="50"/>
      <c r="L45" s="55"/>
      <c r="M45" s="55"/>
      <c r="Q45" s="36"/>
      <c r="R45" s="36"/>
      <c r="S45" s="36"/>
      <c r="T45" s="36"/>
    </row>
    <row r="46" spans="2:237" ht="11.25" customHeight="1" x14ac:dyDescent="0.2">
      <c r="B46" s="22"/>
      <c r="C46" s="5"/>
      <c r="D46" s="5"/>
      <c r="E46" s="5"/>
      <c r="F46" s="5"/>
      <c r="G46" s="5"/>
      <c r="H46" s="5"/>
      <c r="I46" s="5"/>
      <c r="J46" s="10"/>
      <c r="K46" s="50"/>
      <c r="L46" s="55"/>
      <c r="M46" s="55"/>
      <c r="Q46" s="36"/>
      <c r="R46" s="36"/>
      <c r="S46" s="36"/>
      <c r="T46" s="36"/>
    </row>
    <row r="47" spans="2:237" ht="11.25" customHeight="1" x14ac:dyDescent="0.2">
      <c r="B47" s="22"/>
      <c r="C47" s="5"/>
      <c r="D47" s="5"/>
      <c r="E47" s="5"/>
      <c r="F47" s="5"/>
      <c r="G47" s="5"/>
      <c r="H47" s="5"/>
      <c r="I47" s="5"/>
      <c r="J47" s="10"/>
      <c r="K47" s="50"/>
      <c r="L47" s="55"/>
      <c r="M47" s="55"/>
    </row>
    <row r="48" spans="2:237" ht="11.25" customHeight="1" x14ac:dyDescent="0.2">
      <c r="B48" s="22"/>
      <c r="C48" s="5"/>
      <c r="D48" s="5"/>
      <c r="E48" s="5"/>
      <c r="F48" s="5"/>
      <c r="G48" s="5"/>
      <c r="H48" s="5"/>
      <c r="I48" s="5"/>
      <c r="J48" s="10"/>
      <c r="K48" s="50"/>
      <c r="L48" s="55"/>
      <c r="M48" s="55"/>
      <c r="Q48" s="36"/>
      <c r="R48" s="36"/>
      <c r="S48" s="36"/>
      <c r="T48" s="36"/>
    </row>
    <row r="49" spans="2:31" ht="11.25" customHeight="1" x14ac:dyDescent="0.2">
      <c r="B49" s="22"/>
      <c r="C49" s="5"/>
      <c r="D49" s="5"/>
      <c r="E49" s="5"/>
      <c r="F49" s="5"/>
      <c r="G49" s="5"/>
      <c r="H49" s="5"/>
      <c r="I49" s="5"/>
      <c r="J49" s="10"/>
      <c r="K49" s="50"/>
      <c r="L49" s="55"/>
      <c r="M49" s="55"/>
      <c r="Q49" s="36"/>
      <c r="R49" s="36"/>
      <c r="S49" s="36"/>
      <c r="T49" s="36"/>
    </row>
    <row r="50" spans="2:31" ht="11.25" customHeight="1" x14ac:dyDescent="0.2">
      <c r="B50" s="22"/>
      <c r="C50" s="5"/>
      <c r="D50" s="5"/>
      <c r="E50" s="5"/>
      <c r="F50" s="5"/>
      <c r="G50" s="5"/>
      <c r="H50" s="5"/>
      <c r="I50" s="5"/>
      <c r="J50" s="10"/>
      <c r="K50" s="50"/>
      <c r="L50" s="55"/>
      <c r="M50" s="55"/>
      <c r="Q50" s="36"/>
      <c r="R50" s="36"/>
      <c r="S50" s="36"/>
      <c r="T50" s="36"/>
    </row>
    <row r="51" spans="2:31" ht="11.25" customHeight="1" x14ac:dyDescent="0.2">
      <c r="B51" s="22"/>
      <c r="C51" s="4" t="s">
        <v>59</v>
      </c>
      <c r="D51" s="5"/>
      <c r="E51" s="5"/>
      <c r="F51" s="5"/>
      <c r="G51" s="5"/>
      <c r="H51" s="5"/>
      <c r="I51" s="5"/>
      <c r="J51" s="10"/>
      <c r="K51" s="50"/>
      <c r="L51" s="55"/>
      <c r="M51" s="55"/>
      <c r="Q51" s="26"/>
      <c r="R51" s="26"/>
      <c r="S51" s="26"/>
      <c r="T51" s="26"/>
      <c r="U51" s="26"/>
      <c r="V51" s="26"/>
      <c r="W51" s="26"/>
      <c r="X51" s="26"/>
      <c r="Y51" s="26"/>
      <c r="Z51" s="26"/>
      <c r="AA51" s="26"/>
      <c r="AB51" s="26"/>
      <c r="AC51" s="26"/>
      <c r="AD51" s="26"/>
      <c r="AE51" s="26"/>
    </row>
    <row r="52" spans="2:31" ht="11.25" customHeight="1" x14ac:dyDescent="0.2">
      <c r="B52" s="22"/>
      <c r="C52" s="12" t="s">
        <v>60</v>
      </c>
      <c r="D52" s="5"/>
      <c r="E52" s="5"/>
      <c r="F52" s="5"/>
      <c r="G52" s="5"/>
      <c r="H52" s="5"/>
      <c r="I52" s="5"/>
      <c r="J52" s="10"/>
      <c r="K52" s="50"/>
      <c r="L52" s="55"/>
      <c r="M52" s="55"/>
    </row>
    <row r="53" spans="2:31" ht="11.25" customHeight="1" x14ac:dyDescent="0.2">
      <c r="B53" s="22"/>
      <c r="C53" s="12" t="s">
        <v>61</v>
      </c>
      <c r="D53" s="5"/>
      <c r="E53" s="5"/>
      <c r="F53" s="5"/>
      <c r="G53" s="5"/>
      <c r="H53" s="5"/>
      <c r="I53" s="5"/>
      <c r="J53" s="10"/>
      <c r="K53" s="50"/>
      <c r="L53" s="55"/>
      <c r="M53" s="55"/>
    </row>
    <row r="54" spans="2:31" ht="11.25" customHeight="1" x14ac:dyDescent="0.2">
      <c r="B54" s="22"/>
      <c r="C54" s="12" t="s">
        <v>62</v>
      </c>
      <c r="D54" s="5"/>
      <c r="E54" s="5"/>
      <c r="F54" s="5"/>
      <c r="G54" s="5"/>
      <c r="H54" s="5"/>
      <c r="I54" s="5"/>
      <c r="J54" s="10"/>
      <c r="K54" s="50"/>
      <c r="L54" s="55"/>
      <c r="M54" s="55"/>
    </row>
    <row r="55" spans="2:31" ht="11.25" customHeight="1" x14ac:dyDescent="0.2">
      <c r="B55" s="22"/>
      <c r="C55" s="27" t="s">
        <v>63</v>
      </c>
      <c r="D55" s="5"/>
      <c r="E55" s="5"/>
      <c r="F55" s="5"/>
      <c r="G55" s="5"/>
      <c r="H55" s="5"/>
      <c r="I55" s="5"/>
      <c r="J55" s="10"/>
      <c r="K55" s="50"/>
      <c r="L55" s="55"/>
      <c r="M55" s="55"/>
      <c r="Q55" s="26"/>
      <c r="R55" s="26"/>
      <c r="S55" s="26"/>
      <c r="T55" s="26"/>
      <c r="U55" s="26"/>
      <c r="V55" s="26"/>
      <c r="W55" s="26"/>
      <c r="X55" s="26"/>
      <c r="Y55" s="26"/>
      <c r="Z55" s="26"/>
      <c r="AA55" s="26"/>
      <c r="AB55" s="26"/>
      <c r="AC55" s="26"/>
      <c r="AD55" s="26"/>
      <c r="AE55" s="26"/>
    </row>
    <row r="56" spans="2:31" ht="11.25" customHeight="1" x14ac:dyDescent="0.2">
      <c r="B56" s="22"/>
      <c r="C56" s="12" t="s">
        <v>64</v>
      </c>
      <c r="D56" s="5"/>
      <c r="E56" s="5"/>
      <c r="F56" s="5"/>
      <c r="G56" s="5"/>
      <c r="H56" s="5"/>
      <c r="I56" s="5"/>
      <c r="J56" s="10"/>
      <c r="K56" s="50"/>
      <c r="L56" s="55"/>
      <c r="M56" s="55"/>
    </row>
    <row r="57" spans="2:31" ht="11.25" customHeight="1" x14ac:dyDescent="0.2">
      <c r="B57" s="23"/>
      <c r="C57" s="24"/>
      <c r="D57" s="24"/>
      <c r="E57" s="24"/>
      <c r="F57" s="24"/>
      <c r="G57" s="24"/>
      <c r="H57" s="24"/>
      <c r="I57" s="24"/>
      <c r="J57" s="25"/>
      <c r="K57" s="51"/>
      <c r="L57" s="55"/>
      <c r="M57" s="55"/>
    </row>
    <row r="58" spans="2:31" ht="11.25" customHeight="1" x14ac:dyDescent="0.2">
      <c r="L58" s="56"/>
      <c r="M58" s="56"/>
    </row>
    <row r="59" spans="2:31" ht="11.25" customHeight="1" x14ac:dyDescent="0.2">
      <c r="B59" s="344" t="s">
        <v>545</v>
      </c>
      <c r="C59" s="344"/>
      <c r="D59" s="344"/>
      <c r="E59" s="344"/>
      <c r="F59" s="344"/>
      <c r="G59" s="344"/>
      <c r="H59" s="344"/>
      <c r="I59" s="344"/>
      <c r="J59" s="344"/>
      <c r="K59" s="344"/>
      <c r="L59" s="239"/>
      <c r="M59" s="239"/>
    </row>
    <row r="60" spans="2:31" ht="11.25" customHeight="1" x14ac:dyDescent="0.2">
      <c r="B60" s="344"/>
      <c r="C60" s="344"/>
      <c r="D60" s="344"/>
      <c r="E60" s="344"/>
      <c r="F60" s="344"/>
      <c r="G60" s="344"/>
      <c r="H60" s="344"/>
      <c r="I60" s="344"/>
      <c r="J60" s="344"/>
      <c r="K60" s="344"/>
      <c r="L60" s="239"/>
      <c r="M60" s="239"/>
    </row>
    <row r="61" spans="2:31" ht="11.25" customHeight="1" x14ac:dyDescent="0.2">
      <c r="B61" s="344"/>
      <c r="C61" s="344"/>
      <c r="D61" s="344"/>
      <c r="E61" s="344"/>
      <c r="F61" s="344"/>
      <c r="G61" s="344"/>
      <c r="H61" s="344"/>
      <c r="I61" s="344"/>
      <c r="J61" s="344"/>
      <c r="K61" s="344"/>
      <c r="L61" s="239"/>
      <c r="M61" s="239"/>
    </row>
    <row r="62" spans="2:31" ht="11.25" customHeight="1" x14ac:dyDescent="0.2">
      <c r="B62" s="344"/>
      <c r="C62" s="344"/>
      <c r="D62" s="344"/>
      <c r="E62" s="344"/>
      <c r="F62" s="344"/>
      <c r="G62" s="344"/>
      <c r="H62" s="344"/>
      <c r="I62" s="344"/>
      <c r="J62" s="344"/>
      <c r="K62" s="344"/>
      <c r="L62" s="239"/>
      <c r="M62" s="239"/>
    </row>
    <row r="63" spans="2:31" x14ac:dyDescent="0.2">
      <c r="B63" s="344"/>
      <c r="C63" s="344"/>
      <c r="D63" s="344"/>
      <c r="E63" s="344"/>
      <c r="F63" s="344"/>
      <c r="G63" s="344"/>
      <c r="H63" s="344"/>
      <c r="I63" s="344"/>
      <c r="J63" s="344"/>
      <c r="K63" s="344"/>
      <c r="L63" s="239"/>
      <c r="M63" s="239"/>
    </row>
    <row r="64" spans="2:31" x14ac:dyDescent="0.2">
      <c r="B64" s="344"/>
      <c r="C64" s="344"/>
      <c r="D64" s="344"/>
      <c r="E64" s="344"/>
      <c r="F64" s="344"/>
      <c r="G64" s="344"/>
      <c r="H64" s="344"/>
      <c r="I64" s="344"/>
      <c r="J64" s="344"/>
      <c r="K64" s="344"/>
      <c r="L64" s="239"/>
      <c r="M64" s="239"/>
    </row>
    <row r="65" spans="2:13" x14ac:dyDescent="0.2">
      <c r="B65" s="344"/>
      <c r="C65" s="344"/>
      <c r="D65" s="344"/>
      <c r="E65" s="344"/>
      <c r="F65" s="344"/>
      <c r="G65" s="344"/>
      <c r="H65" s="344"/>
      <c r="I65" s="344"/>
      <c r="J65" s="344"/>
      <c r="K65" s="344"/>
      <c r="L65" s="239"/>
      <c r="M65" s="239"/>
    </row>
    <row r="66" spans="2:13" x14ac:dyDescent="0.2">
      <c r="B66" s="344"/>
      <c r="C66" s="344"/>
      <c r="D66" s="344"/>
      <c r="E66" s="344"/>
      <c r="F66" s="344"/>
      <c r="G66" s="344"/>
      <c r="H66" s="344"/>
      <c r="I66" s="344"/>
      <c r="J66" s="344"/>
      <c r="K66" s="344"/>
      <c r="L66" s="225"/>
      <c r="M66" s="225"/>
    </row>
    <row r="67" spans="2:13" x14ac:dyDescent="0.2">
      <c r="B67" s="344"/>
      <c r="C67" s="344"/>
      <c r="D67" s="344"/>
      <c r="E67" s="344"/>
      <c r="F67" s="344"/>
      <c r="G67" s="344"/>
      <c r="H67" s="344"/>
      <c r="I67" s="344"/>
      <c r="J67" s="344"/>
      <c r="K67" s="344"/>
      <c r="L67" s="225"/>
      <c r="M67" s="225"/>
    </row>
  </sheetData>
  <sheetProtection selectLockedCells="1"/>
  <mergeCells count="9">
    <mergeCell ref="B59:K67"/>
    <mergeCell ref="B41:E41"/>
    <mergeCell ref="G41:K41"/>
    <mergeCell ref="B29:K29"/>
    <mergeCell ref="B1:K1"/>
    <mergeCell ref="B2:K2"/>
    <mergeCell ref="B9:K9"/>
    <mergeCell ref="B18:K18"/>
    <mergeCell ref="B40:K40"/>
  </mergeCells>
  <phoneticPr fontId="0" type="noConversion"/>
  <conditionalFormatting sqref="C38 B39">
    <cfRule type="cellIs" dxfId="3" priority="5" stopIfTrue="1" operator="equal">
      <formula>"Cash TO/FROM Borrower"</formula>
    </cfRule>
    <cfRule type="cellIs" dxfId="2" priority="6" stopIfTrue="1" operator="equal">
      <formula>"Cash TO Borrower"</formula>
    </cfRule>
    <cfRule type="cellIs" dxfId="1" priority="7" stopIfTrue="1" operator="equal">
      <formula>"Cash FROM Borrower"</formula>
    </cfRule>
  </conditionalFormatting>
  <conditionalFormatting sqref="K27">
    <cfRule type="cellIs" dxfId="0" priority="1" stopIfTrue="1" operator="greaterThan">
      <formula>$K$16+$K$17</formula>
    </cfRule>
    <cfRule type="expression" priority="2" stopIfTrue="1">
      <formula>$K$27</formula>
    </cfRule>
  </conditionalFormatting>
  <dataValidations count="6">
    <dataValidation type="decimal" operator="greaterThan" allowBlank="1" showInputMessage="1" showErrorMessage="1" sqref="E22:E24" xr:uid="{00000000-0002-0000-0200-000000000000}">
      <formula1>0</formula1>
    </dataValidation>
    <dataValidation type="decimal" operator="greaterThan" allowBlank="1" showInputMessage="1" showErrorMessage="1" errorTitle="Error" error="Appraised value must be &gt; $0.00" sqref="K3:M3" xr:uid="{00000000-0002-0000-0200-000001000000}">
      <formula1>0</formula1>
    </dataValidation>
    <dataValidation type="whole" operator="greaterThan" allowBlank="1" showInputMessage="1" showErrorMessage="1" errorTitle="Error" error="County limit must be a whole number &gt; $0" sqref="K10:M10" xr:uid="{00000000-0002-0000-0200-000002000000}">
      <formula1>0</formula1>
    </dataValidation>
    <dataValidation type="decimal" operator="greaterThanOrEqual" allowBlank="1" showInputMessage="1" showErrorMessage="1" errorTitle="Error" error="Previously Used Entitlement must be &gt;= $0.00" sqref="K14:M15" xr:uid="{00000000-0002-0000-0200-000003000000}">
      <formula1>0</formula1>
    </dataValidation>
    <dataValidation type="decimal" operator="greaterThan" allowBlank="1" showInputMessage="1" showErrorMessage="1" errorTitle="Error" error="Payoff must be &gt; $1.00" sqref="K30:M30" xr:uid="{00000000-0002-0000-0200-000004000000}">
      <formula1>1</formula1>
    </dataValidation>
    <dataValidation type="decimal" operator="greaterThanOrEqual" allowBlank="1" showInputMessage="1" showErrorMessage="1" errorTitle="Error" error="Must be &gt;=$0.00" sqref="K31:M32" xr:uid="{00000000-0002-0000-0200-000005000000}">
      <formula1>0</formula1>
    </dataValidation>
  </dataValidations>
  <hyperlinks>
    <hyperlink ref="G41:K41" r:id="rId1" display="Circular 26-11-19 (Nov 22, 2011)" xr:uid="{00000000-0004-0000-0200-000000000000}"/>
  </hyperlinks>
  <printOptions horizontalCentered="1" headings="1"/>
  <pageMargins left="0.75" right="0.75" top="1" bottom="1" header="0.5" footer="0.5"/>
  <pageSetup scale="84"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nchor moveWithCells="1">
                  <from>
                    <xdr:col>8</xdr:col>
                    <xdr:colOff>1133475</xdr:colOff>
                    <xdr:row>10</xdr:row>
                    <xdr:rowOff>47625</xdr:rowOff>
                  </from>
                  <to>
                    <xdr:col>11</xdr:col>
                    <xdr:colOff>0</xdr:colOff>
                    <xdr:row>10</xdr:row>
                    <xdr:rowOff>228600</xdr:rowOff>
                  </to>
                </anchor>
              </controlPr>
            </control>
          </mc:Choice>
        </mc:AlternateContent>
        <mc:AlternateContent xmlns:mc="http://schemas.openxmlformats.org/markup-compatibility/2006">
          <mc:Choice Requires="x14">
            <control shapeId="2060" r:id="rId6" name="Button 12">
              <controlPr defaultSize="0" print="0" autoFill="0" autoPict="0" macro="[0]!ClearCashOut">
                <anchor moveWithCells="1" sizeWithCells="1">
                  <from>
                    <xdr:col>11</xdr:col>
                    <xdr:colOff>85725</xdr:colOff>
                    <xdr:row>1</xdr:row>
                    <xdr:rowOff>57150</xdr:rowOff>
                  </from>
                  <to>
                    <xdr:col>14</xdr:col>
                    <xdr:colOff>400050</xdr:colOff>
                    <xdr:row>3</xdr:row>
                    <xdr:rowOff>95250</xdr:rowOff>
                  </to>
                </anchor>
              </controlPr>
            </control>
          </mc:Choice>
        </mc:AlternateContent>
        <mc:AlternateContent xmlns:mc="http://schemas.openxmlformats.org/markup-compatibility/2006">
          <mc:Choice Requires="x14">
            <control shapeId="7652" r:id="rId7" name="Check Box 1508">
              <controlPr locked="0" defaultSize="0" autoFill="0" autoLine="0" autoPict="0" macro="[0]!Checkbox1">
                <anchor moveWithCells="1">
                  <from>
                    <xdr:col>2</xdr:col>
                    <xdr:colOff>9525</xdr:colOff>
                    <xdr:row>4</xdr:row>
                    <xdr:rowOff>28575</xdr:rowOff>
                  </from>
                  <to>
                    <xdr:col>2</xdr:col>
                    <xdr:colOff>247650</xdr:colOff>
                    <xdr:row>5</xdr:row>
                    <xdr:rowOff>19050</xdr:rowOff>
                  </to>
                </anchor>
              </controlPr>
            </control>
          </mc:Choice>
        </mc:AlternateContent>
        <mc:AlternateContent xmlns:mc="http://schemas.openxmlformats.org/markup-compatibility/2006">
          <mc:Choice Requires="x14">
            <control shapeId="7653" r:id="rId8" name="Check Box 1509">
              <controlPr locked="0" defaultSize="0" autoFill="0" autoLine="0" autoPict="0" macro="[0]!Checkbox2">
                <anchor moveWithCells="1">
                  <from>
                    <xdr:col>2</xdr:col>
                    <xdr:colOff>0</xdr:colOff>
                    <xdr:row>6</xdr:row>
                    <xdr:rowOff>0</xdr:rowOff>
                  </from>
                  <to>
                    <xdr:col>2</xdr:col>
                    <xdr:colOff>228600</xdr:colOff>
                    <xdr:row>6</xdr:row>
                    <xdr:rowOff>133350</xdr:rowOff>
                  </to>
                </anchor>
              </controlPr>
            </control>
          </mc:Choice>
        </mc:AlternateContent>
        <mc:AlternateContent xmlns:mc="http://schemas.openxmlformats.org/markup-compatibility/2006">
          <mc:Choice Requires="x14">
            <control shapeId="7654" r:id="rId9" name="Check Box 1510">
              <controlPr locked="0" defaultSize="0" autoFill="0" autoLine="0" autoPict="0" macro="[0]!Checkbox3">
                <anchor moveWithCells="1">
                  <from>
                    <xdr:col>2</xdr:col>
                    <xdr:colOff>0</xdr:colOff>
                    <xdr:row>7</xdr:row>
                    <xdr:rowOff>0</xdr:rowOff>
                  </from>
                  <to>
                    <xdr:col>2</xdr:col>
                    <xdr:colOff>228600</xdr:colOff>
                    <xdr:row>8</xdr:row>
                    <xdr:rowOff>19050</xdr:rowOff>
                  </to>
                </anchor>
              </controlPr>
            </control>
          </mc:Choice>
        </mc:AlternateContent>
        <mc:AlternateContent xmlns:mc="http://schemas.openxmlformats.org/markup-compatibility/2006">
          <mc:Choice Requires="x14">
            <control shapeId="7707" r:id="rId10" name="Check Box 1563">
              <controlPr locked="0" defaultSize="0" autoFill="0" autoLine="0" autoPict="0">
                <anchor moveWithCells="1">
                  <from>
                    <xdr:col>2</xdr:col>
                    <xdr:colOff>0</xdr:colOff>
                    <xdr:row>20</xdr:row>
                    <xdr:rowOff>161925</xdr:rowOff>
                  </from>
                  <to>
                    <xdr:col>2</xdr:col>
                    <xdr:colOff>228600</xdr:colOff>
                    <xdr:row>22</xdr:row>
                    <xdr:rowOff>0</xdr:rowOff>
                  </to>
                </anchor>
              </controlPr>
            </control>
          </mc:Choice>
        </mc:AlternateContent>
        <mc:AlternateContent xmlns:mc="http://schemas.openxmlformats.org/markup-compatibility/2006">
          <mc:Choice Requires="x14">
            <control shapeId="7708" r:id="rId11" name="Check Box 1564">
              <controlPr locked="0" defaultSize="0" autoFill="0" autoLine="0" autoPict="0">
                <anchor moveWithCells="1">
                  <from>
                    <xdr:col>1</xdr:col>
                    <xdr:colOff>161925</xdr:colOff>
                    <xdr:row>21</xdr:row>
                    <xdr:rowOff>161925</xdr:rowOff>
                  </from>
                  <to>
                    <xdr:col>2</xdr:col>
                    <xdr:colOff>257175</xdr:colOff>
                    <xdr:row>23</xdr:row>
                    <xdr:rowOff>0</xdr:rowOff>
                  </to>
                </anchor>
              </controlPr>
            </control>
          </mc:Choice>
        </mc:AlternateContent>
        <mc:AlternateContent xmlns:mc="http://schemas.openxmlformats.org/markup-compatibility/2006">
          <mc:Choice Requires="x14">
            <control shapeId="7709" r:id="rId12" name="Check Box 1565">
              <controlPr locked="0" defaultSize="0" autoFill="0" autoLine="0" autoPict="0">
                <anchor moveWithCells="1">
                  <from>
                    <xdr:col>2</xdr:col>
                    <xdr:colOff>0</xdr:colOff>
                    <xdr:row>20</xdr:row>
                    <xdr:rowOff>0</xdr:rowOff>
                  </from>
                  <to>
                    <xdr:col>2</xdr:col>
                    <xdr:colOff>228600</xdr:colOff>
                    <xdr:row>21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U243"/>
  <sheetViews>
    <sheetView topLeftCell="G1" workbookViewId="0">
      <selection activeCell="I5" sqref="I5"/>
    </sheetView>
  </sheetViews>
  <sheetFormatPr defaultRowHeight="12.75" x14ac:dyDescent="0.2"/>
  <cols>
    <col min="1" max="2" width="37" style="140" hidden="1" customWidth="1"/>
    <col min="3" max="4" width="9.33203125" style="140" hidden="1" customWidth="1"/>
    <col min="5" max="5" width="6.5" style="140" hidden="1" customWidth="1"/>
    <col min="6" max="6" width="9.33203125" style="140" hidden="1" customWidth="1"/>
    <col min="7" max="7" width="16.5" style="140" bestFit="1" customWidth="1"/>
    <col min="8" max="8" width="59" style="140" customWidth="1"/>
    <col min="9" max="9" width="18.83203125" style="140" bestFit="1" customWidth="1"/>
    <col min="10" max="10" width="21.1640625" style="140" bestFit="1" customWidth="1"/>
    <col min="11" max="11" width="9.33203125" style="140"/>
    <col min="12" max="12" width="15.83203125" style="140" bestFit="1" customWidth="1"/>
    <col min="13" max="13" width="13.83203125" style="140" bestFit="1" customWidth="1"/>
    <col min="14" max="14" width="10.6640625" style="140" bestFit="1" customWidth="1"/>
    <col min="15" max="19" width="9.33203125" style="140"/>
    <col min="20" max="20" width="8" style="140" bestFit="1" customWidth="1"/>
    <col min="21" max="21" width="25.1640625" style="140" bestFit="1" customWidth="1"/>
    <col min="22" max="16384" width="9.33203125" style="140"/>
  </cols>
  <sheetData>
    <row r="2" spans="1:21" x14ac:dyDescent="0.2">
      <c r="A2" s="140" t="s">
        <v>73</v>
      </c>
    </row>
    <row r="3" spans="1:21" x14ac:dyDescent="0.2">
      <c r="A3" s="140" t="s">
        <v>74</v>
      </c>
    </row>
    <row r="4" spans="1:21" x14ac:dyDescent="0.2">
      <c r="A4" s="140" t="s">
        <v>75</v>
      </c>
      <c r="G4" s="141" t="s">
        <v>219</v>
      </c>
      <c r="H4" s="141" t="s">
        <v>204</v>
      </c>
      <c r="I4" s="141" t="s">
        <v>512</v>
      </c>
      <c r="J4" s="141"/>
      <c r="M4" s="141" t="s">
        <v>219</v>
      </c>
      <c r="N4" s="141" t="s">
        <v>312</v>
      </c>
      <c r="S4" s="141" t="s">
        <v>475</v>
      </c>
    </row>
    <row r="5" spans="1:21" x14ac:dyDescent="0.2">
      <c r="G5" s="140">
        <v>1</v>
      </c>
      <c r="H5" s="140" t="s">
        <v>220</v>
      </c>
      <c r="I5" s="142">
        <v>453100</v>
      </c>
      <c r="J5" s="143"/>
      <c r="M5" s="140">
        <v>1</v>
      </c>
      <c r="N5" s="149" t="s">
        <v>383</v>
      </c>
    </row>
    <row r="6" spans="1:21" x14ac:dyDescent="0.2">
      <c r="A6" s="140" t="s">
        <v>76</v>
      </c>
      <c r="B6" s="143" t="str">
        <f>MID($A6,FIND(CHAR(22),SUBSTITUTE($A6," ",CHAR(22),1))+1,FIND(CHAR(22),SUBSTITUTE($A6," ",CHAR(22),LEN($A6)-LEN(SUBSTITUTE($A6," ",""))-2))+1)</f>
        <v>ALEUTIANS EAST</v>
      </c>
      <c r="C6" s="143" t="str">
        <f>MID($A6,FIND(CHAR(22),SUBSTITUTE($A6," ",CHAR(22),LEN($A6)-LEN(SUBSTITUTE($A6," ",""))-1))+1,255)</f>
        <v>625,500 DENVER</v>
      </c>
      <c r="G6" s="140">
        <v>2</v>
      </c>
      <c r="H6" s="140" t="s">
        <v>205</v>
      </c>
      <c r="I6" s="142">
        <v>679650</v>
      </c>
      <c r="J6" s="143"/>
      <c r="M6" s="140">
        <v>2</v>
      </c>
      <c r="N6" s="140" t="s">
        <v>379</v>
      </c>
      <c r="R6" s="140">
        <f>IF(RIGHT(Purchase!S26,1)= 0,1,0)</f>
        <v>0</v>
      </c>
      <c r="S6" s="140">
        <v>1</v>
      </c>
      <c r="T6" s="184">
        <v>0</v>
      </c>
      <c r="U6" s="140" t="s">
        <v>476</v>
      </c>
    </row>
    <row r="7" spans="1:21" x14ac:dyDescent="0.2">
      <c r="A7" s="140" t="s">
        <v>77</v>
      </c>
      <c r="B7" s="143" t="str">
        <f t="shared" ref="B7:B83" si="0">MID($A7,FIND(CHAR(22),SUBSTITUTE($A7," ",CHAR(22),1))+1,FIND(CHAR(22),SUBSTITUTE($A7," ",CHAR(22),LEN($A7)-LEN(SUBSTITUTE($A7," ",""))-2))+1)</f>
        <v>ALEUTIANS WEST</v>
      </c>
      <c r="C7" s="143" t="str">
        <f>MID($A7,FIND(CHAR(22),SUBSTITUTE($A7," ",CHAR(22),LEN($A7)-LEN(SUBSTITUTE($A7," ",""))-1))+1,255)</f>
        <v>625,500 DENVER</v>
      </c>
      <c r="G7" s="140">
        <v>3</v>
      </c>
      <c r="H7" s="140" t="s">
        <v>206</v>
      </c>
      <c r="I7" s="142">
        <v>679650</v>
      </c>
      <c r="J7" s="143"/>
      <c r="M7" s="140">
        <v>3</v>
      </c>
      <c r="N7" s="140" t="s">
        <v>380</v>
      </c>
      <c r="R7" s="140">
        <v>3111</v>
      </c>
      <c r="S7" s="140">
        <v>2</v>
      </c>
      <c r="T7" s="184">
        <v>2.15</v>
      </c>
      <c r="U7" s="140" t="s">
        <v>477</v>
      </c>
    </row>
    <row r="8" spans="1:21" x14ac:dyDescent="0.2">
      <c r="A8" s="140" t="s">
        <v>78</v>
      </c>
      <c r="B8" s="143" t="str">
        <f t="shared" si="0"/>
        <v>ANCH</v>
      </c>
      <c r="C8" s="143" t="str">
        <f t="shared" ref="C8:C84" si="1">MID($A8,FIND(CHAR(22),SUBSTITUTE($A8," ",CHAR(22),LEN($A8)-LEN(SUBSTITUTE($A8," ",""))-1))+1,255)</f>
        <v>625,500 DENVER</v>
      </c>
      <c r="G8" s="140">
        <v>4</v>
      </c>
      <c r="H8" s="140" t="s">
        <v>438</v>
      </c>
      <c r="I8" s="142">
        <v>679650</v>
      </c>
      <c r="J8" s="143"/>
      <c r="R8" s="140">
        <v>2111</v>
      </c>
      <c r="S8" s="140">
        <v>3</v>
      </c>
      <c r="T8" s="184">
        <v>1.5</v>
      </c>
      <c r="U8" s="140" t="s">
        <v>478</v>
      </c>
    </row>
    <row r="9" spans="1:21" x14ac:dyDescent="0.2">
      <c r="A9" s="140" t="s">
        <v>79</v>
      </c>
      <c r="B9" s="143" t="str">
        <f t="shared" si="0"/>
        <v>BETH</v>
      </c>
      <c r="C9" s="143" t="str">
        <f t="shared" si="1"/>
        <v>625,500 DENVER</v>
      </c>
      <c r="G9" s="140">
        <v>5</v>
      </c>
      <c r="H9" s="140" t="s">
        <v>305</v>
      </c>
      <c r="I9" s="142">
        <v>679650</v>
      </c>
      <c r="J9" s="143"/>
      <c r="R9" s="140">
        <v>1111</v>
      </c>
      <c r="S9" s="140">
        <v>4</v>
      </c>
      <c r="T9" s="184">
        <v>1.25</v>
      </c>
      <c r="U9" s="140" t="s">
        <v>479</v>
      </c>
    </row>
    <row r="10" spans="1:21" x14ac:dyDescent="0.2">
      <c r="A10" s="140" t="s">
        <v>80</v>
      </c>
      <c r="B10" s="143" t="str">
        <f t="shared" si="0"/>
        <v xml:space="preserve">BRISTOL BAY </v>
      </c>
      <c r="C10" s="143" t="str">
        <f t="shared" si="1"/>
        <v>625,500 DENVER</v>
      </c>
      <c r="G10" s="140">
        <v>6</v>
      </c>
      <c r="H10" s="140" t="s">
        <v>428</v>
      </c>
      <c r="I10" s="142">
        <v>679650</v>
      </c>
      <c r="J10" s="143"/>
      <c r="R10" s="140">
        <v>3121</v>
      </c>
      <c r="S10" s="140">
        <v>5</v>
      </c>
      <c r="T10" s="184">
        <v>2.4</v>
      </c>
      <c r="U10" s="140" t="s">
        <v>480</v>
      </c>
    </row>
    <row r="11" spans="1:21" x14ac:dyDescent="0.2">
      <c r="A11" s="140" t="s">
        <v>81</v>
      </c>
      <c r="B11" s="143" t="str">
        <f t="shared" si="0"/>
        <v>DENA</v>
      </c>
      <c r="C11" s="143" t="str">
        <f t="shared" si="1"/>
        <v>625,500 DENVER</v>
      </c>
      <c r="G11" s="140">
        <v>7</v>
      </c>
      <c r="H11" s="140" t="s">
        <v>306</v>
      </c>
      <c r="I11" s="142">
        <v>679650</v>
      </c>
      <c r="J11" s="143"/>
      <c r="R11" s="140">
        <v>2121</v>
      </c>
      <c r="S11" s="140">
        <v>6</v>
      </c>
      <c r="T11" s="184">
        <v>1.75</v>
      </c>
      <c r="U11" s="140" t="s">
        <v>481</v>
      </c>
    </row>
    <row r="12" spans="1:21" x14ac:dyDescent="0.2">
      <c r="A12" s="140" t="s">
        <v>82</v>
      </c>
      <c r="B12" s="143" t="str">
        <f t="shared" si="0"/>
        <v>DILL</v>
      </c>
      <c r="C12" s="143" t="str">
        <f t="shared" si="1"/>
        <v>625,500 DENVER</v>
      </c>
      <c r="G12" s="140">
        <v>8</v>
      </c>
      <c r="H12" s="140" t="s">
        <v>307</v>
      </c>
      <c r="I12" s="142">
        <v>679650</v>
      </c>
      <c r="J12" s="143"/>
      <c r="R12" s="140">
        <v>1121</v>
      </c>
      <c r="S12" s="140">
        <v>7</v>
      </c>
      <c r="T12" s="184">
        <v>1.5</v>
      </c>
      <c r="U12" s="140" t="s">
        <v>482</v>
      </c>
    </row>
    <row r="13" spans="1:21" x14ac:dyDescent="0.2">
      <c r="A13" s="140" t="s">
        <v>83</v>
      </c>
      <c r="B13" s="143" t="str">
        <f t="shared" si="0"/>
        <v>FAIRBANKS NORT</v>
      </c>
      <c r="C13" s="143" t="str">
        <f t="shared" si="1"/>
        <v>625,500 DENVER</v>
      </c>
      <c r="G13" s="140">
        <v>9</v>
      </c>
      <c r="H13" s="140" t="s">
        <v>221</v>
      </c>
      <c r="I13" s="142">
        <v>679650</v>
      </c>
      <c r="J13" s="143"/>
      <c r="R13" s="140">
        <v>3211</v>
      </c>
      <c r="S13" s="140">
        <v>8</v>
      </c>
      <c r="T13" s="184">
        <v>3.3</v>
      </c>
      <c r="U13" s="140" t="s">
        <v>483</v>
      </c>
    </row>
    <row r="14" spans="1:21" x14ac:dyDescent="0.2">
      <c r="A14" s="140" t="s">
        <v>84</v>
      </c>
      <c r="B14" s="143" t="str">
        <f t="shared" si="0"/>
        <v>HAIN</v>
      </c>
      <c r="C14" s="143" t="str">
        <f t="shared" si="1"/>
        <v>625,500 DENVER</v>
      </c>
      <c r="G14" s="140">
        <v>10</v>
      </c>
      <c r="H14" s="140" t="s">
        <v>308</v>
      </c>
      <c r="I14" s="142">
        <v>679650</v>
      </c>
      <c r="J14" s="143"/>
      <c r="R14" s="140">
        <v>2211</v>
      </c>
      <c r="S14" s="140">
        <v>9</v>
      </c>
      <c r="T14" s="184">
        <v>1.5</v>
      </c>
      <c r="U14" s="140" t="s">
        <v>484</v>
      </c>
    </row>
    <row r="15" spans="1:21" x14ac:dyDescent="0.2">
      <c r="A15" s="140" t="s">
        <v>85</v>
      </c>
      <c r="B15" s="143" t="str">
        <f t="shared" si="0"/>
        <v>HOONAH-ANGOON C 62</v>
      </c>
      <c r="C15" s="143" t="str">
        <f t="shared" si="1"/>
        <v>625,500 DENVER</v>
      </c>
      <c r="G15" s="140">
        <v>11</v>
      </c>
      <c r="H15" s="140" t="s">
        <v>443</v>
      </c>
      <c r="I15" s="142">
        <v>679650</v>
      </c>
      <c r="J15" s="143"/>
      <c r="R15" s="140">
        <v>1211</v>
      </c>
      <c r="S15" s="140">
        <v>10</v>
      </c>
      <c r="T15" s="184">
        <v>1.25</v>
      </c>
      <c r="U15" s="140" t="s">
        <v>485</v>
      </c>
    </row>
    <row r="16" spans="1:21" x14ac:dyDescent="0.2">
      <c r="A16" s="140" t="s">
        <v>86</v>
      </c>
      <c r="B16" s="143" t="str">
        <f t="shared" si="0"/>
        <v>JUNE</v>
      </c>
      <c r="C16" s="143" t="str">
        <f t="shared" si="1"/>
        <v>625,500 DENVER</v>
      </c>
      <c r="G16" s="140">
        <v>12</v>
      </c>
      <c r="H16" s="140" t="s">
        <v>309</v>
      </c>
      <c r="I16" s="142">
        <v>679650</v>
      </c>
      <c r="J16" s="143"/>
      <c r="R16" s="140">
        <v>3221</v>
      </c>
      <c r="S16" s="140">
        <v>11</v>
      </c>
      <c r="T16" s="184">
        <v>3.3</v>
      </c>
      <c r="U16" s="140" t="s">
        <v>486</v>
      </c>
    </row>
    <row r="17" spans="1:21" x14ac:dyDescent="0.2">
      <c r="A17" s="140" t="s">
        <v>87</v>
      </c>
      <c r="B17" s="143" t="str">
        <f t="shared" si="0"/>
        <v>KENAI PENI</v>
      </c>
      <c r="C17" s="143" t="str">
        <f t="shared" si="1"/>
        <v>625,500 DENVER</v>
      </c>
      <c r="G17" s="140">
        <v>13</v>
      </c>
      <c r="H17" s="140" t="s">
        <v>222</v>
      </c>
      <c r="I17" s="142">
        <v>679650</v>
      </c>
      <c r="J17" s="143"/>
      <c r="R17" s="140">
        <v>2221</v>
      </c>
      <c r="S17" s="140">
        <v>12</v>
      </c>
      <c r="T17" s="184">
        <v>1.75</v>
      </c>
      <c r="U17" s="140" t="s">
        <v>487</v>
      </c>
    </row>
    <row r="18" spans="1:21" x14ac:dyDescent="0.2">
      <c r="A18" s="140" t="s">
        <v>88</v>
      </c>
      <c r="B18" s="143" t="str">
        <f t="shared" si="0"/>
        <v>KETCHIKAN GATE</v>
      </c>
      <c r="C18" s="143" t="str">
        <f t="shared" si="1"/>
        <v>625,500 DENVER</v>
      </c>
      <c r="G18" s="140">
        <v>14</v>
      </c>
      <c r="H18" s="140" t="s">
        <v>444</v>
      </c>
      <c r="I18" s="142">
        <v>679650</v>
      </c>
      <c r="J18" s="143"/>
      <c r="R18" s="140">
        <v>1221</v>
      </c>
      <c r="S18" s="140">
        <v>13</v>
      </c>
      <c r="T18" s="184">
        <v>1.5</v>
      </c>
      <c r="U18" s="140" t="s">
        <v>488</v>
      </c>
    </row>
    <row r="19" spans="1:21" x14ac:dyDescent="0.2">
      <c r="A19" s="140" t="s">
        <v>89</v>
      </c>
      <c r="B19" s="143" t="str">
        <f t="shared" si="0"/>
        <v>KODIAK ISLA</v>
      </c>
      <c r="C19" s="143" t="str">
        <f t="shared" si="1"/>
        <v>625,500 DENVER</v>
      </c>
      <c r="G19" s="140">
        <v>15</v>
      </c>
      <c r="H19" s="140" t="s">
        <v>223</v>
      </c>
      <c r="I19" s="142">
        <v>679650</v>
      </c>
      <c r="J19" s="143"/>
    </row>
    <row r="20" spans="1:21" x14ac:dyDescent="0.2">
      <c r="A20" s="140" t="s">
        <v>90</v>
      </c>
      <c r="B20" s="143" t="str">
        <f t="shared" si="0"/>
        <v>LAKE AND PENI</v>
      </c>
      <c r="C20" s="143" t="str">
        <f t="shared" si="1"/>
        <v>625,500 DENVER</v>
      </c>
      <c r="G20" s="140">
        <v>16</v>
      </c>
      <c r="H20" s="140" t="s">
        <v>473</v>
      </c>
      <c r="I20" s="142">
        <v>679650</v>
      </c>
      <c r="J20" s="143"/>
    </row>
    <row r="21" spans="1:21" x14ac:dyDescent="0.2">
      <c r="A21" s="140" t="s">
        <v>91</v>
      </c>
      <c r="B21" s="143" t="str">
        <f t="shared" si="0"/>
        <v>MATA</v>
      </c>
      <c r="C21" s="143" t="str">
        <f t="shared" si="1"/>
        <v>625,500 DENVER</v>
      </c>
      <c r="G21" s="140">
        <v>17</v>
      </c>
      <c r="H21" s="140" t="s">
        <v>445</v>
      </c>
      <c r="I21" s="142">
        <v>679650</v>
      </c>
      <c r="J21" s="143"/>
    </row>
    <row r="22" spans="1:21" x14ac:dyDescent="0.2">
      <c r="A22" s="140" t="s">
        <v>92</v>
      </c>
      <c r="B22" s="143" t="str">
        <f t="shared" si="0"/>
        <v>NOME</v>
      </c>
      <c r="C22" s="143" t="str">
        <f t="shared" si="1"/>
        <v>625,500 DENVER</v>
      </c>
      <c r="G22" s="140">
        <v>18</v>
      </c>
      <c r="H22" s="140" t="s">
        <v>446</v>
      </c>
      <c r="I22" s="142">
        <v>679650</v>
      </c>
      <c r="J22" s="143"/>
    </row>
    <row r="23" spans="1:21" x14ac:dyDescent="0.2">
      <c r="A23" s="140" t="s">
        <v>93</v>
      </c>
      <c r="B23" s="143" t="str">
        <f t="shared" si="0"/>
        <v>NORTH SLOP</v>
      </c>
      <c r="C23" s="143" t="str">
        <f t="shared" si="1"/>
        <v>625,500 DENVER</v>
      </c>
      <c r="G23" s="140">
        <v>19</v>
      </c>
      <c r="H23" s="140" t="s">
        <v>207</v>
      </c>
      <c r="I23" s="142">
        <v>679650</v>
      </c>
      <c r="J23" s="143"/>
    </row>
    <row r="24" spans="1:21" x14ac:dyDescent="0.2">
      <c r="A24" s="140" t="s">
        <v>94</v>
      </c>
      <c r="B24" s="143" t="str">
        <f t="shared" si="0"/>
        <v>NORTHWEST ARCT</v>
      </c>
      <c r="C24" s="143" t="str">
        <f t="shared" si="1"/>
        <v>625,500 DENVER</v>
      </c>
      <c r="G24" s="140">
        <v>20</v>
      </c>
      <c r="H24" s="140" t="s">
        <v>224</v>
      </c>
      <c r="I24" s="142">
        <v>679650</v>
      </c>
      <c r="J24" s="143"/>
    </row>
    <row r="25" spans="1:21" x14ac:dyDescent="0.2">
      <c r="A25" s="140" t="s">
        <v>95</v>
      </c>
      <c r="B25" s="143" t="str">
        <f t="shared" si="0"/>
        <v>PETERSBURG CENS</v>
      </c>
      <c r="C25" s="143" t="str">
        <f t="shared" si="1"/>
        <v>625,500 DENVER</v>
      </c>
      <c r="G25" s="140">
        <v>21</v>
      </c>
      <c r="H25" s="140" t="s">
        <v>447</v>
      </c>
      <c r="I25" s="142">
        <v>679650</v>
      </c>
      <c r="J25" s="143"/>
    </row>
    <row r="26" spans="1:21" x14ac:dyDescent="0.2">
      <c r="A26" s="140" t="s">
        <v>96</v>
      </c>
      <c r="B26" s="143" t="str">
        <f t="shared" si="0"/>
        <v>PRINCE OF WALE</v>
      </c>
      <c r="C26" s="143" t="str">
        <f t="shared" si="1"/>
        <v>625,500 DENVER</v>
      </c>
      <c r="G26" s="140">
        <v>22</v>
      </c>
      <c r="H26" s="140" t="s">
        <v>448</v>
      </c>
      <c r="I26" s="142">
        <v>679650</v>
      </c>
      <c r="J26" s="143"/>
    </row>
    <row r="27" spans="1:21" x14ac:dyDescent="0.2">
      <c r="A27" s="140" t="s">
        <v>97</v>
      </c>
      <c r="B27" s="143" t="str">
        <f t="shared" si="0"/>
        <v>SITK</v>
      </c>
      <c r="C27" s="143" t="str">
        <f t="shared" si="1"/>
        <v>625,500 DENVER</v>
      </c>
      <c r="G27" s="140">
        <v>23</v>
      </c>
      <c r="H27" s="140" t="s">
        <v>310</v>
      </c>
      <c r="I27" s="142">
        <v>679650</v>
      </c>
      <c r="J27" s="143"/>
    </row>
    <row r="28" spans="1:21" x14ac:dyDescent="0.2">
      <c r="A28" s="140" t="s">
        <v>98</v>
      </c>
      <c r="B28" s="143" t="str">
        <f t="shared" si="0"/>
        <v>SKAGWAY MUNI</v>
      </c>
      <c r="C28" s="143" t="str">
        <f t="shared" si="1"/>
        <v>625,500 DENVER</v>
      </c>
      <c r="G28" s="140">
        <v>24</v>
      </c>
      <c r="H28" s="140" t="s">
        <v>225</v>
      </c>
      <c r="I28" s="142">
        <v>679650</v>
      </c>
      <c r="J28" s="143"/>
    </row>
    <row r="29" spans="1:21" x14ac:dyDescent="0.2">
      <c r="A29" s="140" t="s">
        <v>99</v>
      </c>
      <c r="B29" s="143" t="str">
        <f t="shared" si="0"/>
        <v>SOUTHEAST FAIR</v>
      </c>
      <c r="C29" s="143" t="str">
        <f t="shared" si="1"/>
        <v>625,500 DENVER</v>
      </c>
      <c r="G29" s="140">
        <v>25</v>
      </c>
      <c r="H29" s="140" t="s">
        <v>449</v>
      </c>
      <c r="I29" s="142">
        <v>679650</v>
      </c>
      <c r="J29" s="143"/>
    </row>
    <row r="30" spans="1:21" x14ac:dyDescent="0.2">
      <c r="A30" s="140" t="s">
        <v>100</v>
      </c>
      <c r="B30" s="143" t="str">
        <f t="shared" si="0"/>
        <v>VALD</v>
      </c>
      <c r="C30" s="143" t="str">
        <f t="shared" si="1"/>
        <v>625,500 DENVER</v>
      </c>
      <c r="G30" s="140">
        <v>26</v>
      </c>
      <c r="H30" s="140" t="s">
        <v>450</v>
      </c>
      <c r="I30" s="142">
        <v>679650</v>
      </c>
      <c r="J30" s="143"/>
    </row>
    <row r="31" spans="1:21" x14ac:dyDescent="0.2">
      <c r="A31" s="140" t="s">
        <v>101</v>
      </c>
      <c r="B31" s="143" t="str">
        <f t="shared" si="0"/>
        <v>WRANGELL CITY A 62</v>
      </c>
      <c r="C31" s="143" t="str">
        <f t="shared" si="1"/>
        <v>625,500 DENVER</v>
      </c>
      <c r="G31" s="140">
        <v>27</v>
      </c>
      <c r="H31" s="140" t="s">
        <v>226</v>
      </c>
      <c r="I31" s="142">
        <v>679650</v>
      </c>
      <c r="J31" s="143"/>
    </row>
    <row r="32" spans="1:21" x14ac:dyDescent="0.2">
      <c r="A32" s="140" t="s">
        <v>102</v>
      </c>
      <c r="B32" s="143" t="str">
        <f t="shared" si="0"/>
        <v>YAKUTAT CITY</v>
      </c>
      <c r="C32" s="143" t="str">
        <f t="shared" si="1"/>
        <v>625,500 DENVER</v>
      </c>
      <c r="G32" s="140">
        <v>28</v>
      </c>
      <c r="H32" s="140" t="s">
        <v>451</v>
      </c>
      <c r="I32" s="142">
        <v>679650</v>
      </c>
      <c r="J32" s="143"/>
    </row>
    <row r="33" spans="1:10" x14ac:dyDescent="0.2">
      <c r="A33" s="140" t="s">
        <v>103</v>
      </c>
      <c r="B33" s="143" t="str">
        <f t="shared" si="0"/>
        <v>YUKO</v>
      </c>
      <c r="C33" s="143" t="str">
        <f t="shared" si="1"/>
        <v>625,500 DENVER</v>
      </c>
      <c r="G33" s="140">
        <v>29</v>
      </c>
      <c r="H33" s="140" t="s">
        <v>208</v>
      </c>
      <c r="I33" s="142">
        <v>679650</v>
      </c>
      <c r="J33" s="143"/>
    </row>
    <row r="34" spans="1:10" x14ac:dyDescent="0.2">
      <c r="A34" s="140" t="s">
        <v>104</v>
      </c>
      <c r="B34" s="143" t="str">
        <f t="shared" si="0"/>
        <v>ALAM</v>
      </c>
      <c r="C34" s="143" t="str">
        <f t="shared" si="1"/>
        <v>987,500 PHOENIX</v>
      </c>
      <c r="G34" s="140">
        <v>30</v>
      </c>
      <c r="H34" s="140" t="s">
        <v>227</v>
      </c>
      <c r="I34" s="142">
        <v>679650</v>
      </c>
      <c r="J34" s="143"/>
    </row>
    <row r="35" spans="1:10" x14ac:dyDescent="0.2">
      <c r="A35" s="140" t="s">
        <v>105</v>
      </c>
      <c r="B35" s="143" t="str">
        <f t="shared" si="0"/>
        <v>CONTRA COST</v>
      </c>
      <c r="C35" s="143" t="str">
        <f t="shared" si="1"/>
        <v>987,500 PHOENIX</v>
      </c>
      <c r="G35" s="140">
        <v>31</v>
      </c>
      <c r="H35" s="140" t="s">
        <v>452</v>
      </c>
      <c r="I35" s="142">
        <v>679650</v>
      </c>
      <c r="J35" s="143"/>
    </row>
    <row r="36" spans="1:10" x14ac:dyDescent="0.2">
      <c r="B36" s="143"/>
      <c r="C36" s="143"/>
      <c r="G36" s="140">
        <v>32</v>
      </c>
      <c r="H36" s="140" t="s">
        <v>390</v>
      </c>
      <c r="I36" s="142">
        <v>463450</v>
      </c>
      <c r="J36" s="143"/>
    </row>
    <row r="37" spans="1:10" x14ac:dyDescent="0.2">
      <c r="A37" s="140" t="s">
        <v>106</v>
      </c>
      <c r="B37" s="143" t="str">
        <f t="shared" si="0"/>
        <v>LOS ANGE</v>
      </c>
      <c r="C37" s="143" t="str">
        <f t="shared" si="1"/>
        <v>668,750 PHOENIX</v>
      </c>
      <c r="G37" s="140">
        <v>33</v>
      </c>
      <c r="H37" s="140" t="s">
        <v>228</v>
      </c>
      <c r="I37" s="142">
        <v>679650</v>
      </c>
      <c r="J37" s="143"/>
    </row>
    <row r="38" spans="1:10" x14ac:dyDescent="0.2">
      <c r="A38" s="140" t="s">
        <v>107</v>
      </c>
      <c r="B38" s="143" t="str">
        <f t="shared" si="0"/>
        <v>MARI</v>
      </c>
      <c r="C38" s="143" t="str">
        <f t="shared" si="1"/>
        <v>987,500 PHOENIX</v>
      </c>
      <c r="G38" s="140">
        <v>34</v>
      </c>
      <c r="H38" s="140" t="s">
        <v>344</v>
      </c>
      <c r="I38" s="142">
        <v>517500</v>
      </c>
      <c r="J38" s="143"/>
    </row>
    <row r="39" spans="1:10" x14ac:dyDescent="0.2">
      <c r="A39" s="140" t="s">
        <v>108</v>
      </c>
      <c r="B39" s="143" t="str">
        <f t="shared" si="0"/>
        <v>MONT</v>
      </c>
      <c r="C39" s="143" t="str">
        <f t="shared" si="1"/>
        <v>425,000 PHOENIX</v>
      </c>
      <c r="G39" s="140">
        <v>35</v>
      </c>
      <c r="H39" s="140" t="s">
        <v>453</v>
      </c>
      <c r="I39" s="142">
        <v>679650</v>
      </c>
      <c r="J39" s="143"/>
    </row>
    <row r="40" spans="1:10" x14ac:dyDescent="0.2">
      <c r="A40" s="140" t="s">
        <v>109</v>
      </c>
      <c r="B40" s="143" t="str">
        <f t="shared" si="0"/>
        <v>NAPA</v>
      </c>
      <c r="C40" s="143" t="str">
        <f t="shared" si="1"/>
        <v>521,250 PHOENIX</v>
      </c>
      <c r="G40" s="140">
        <v>36</v>
      </c>
      <c r="H40" s="140" t="s">
        <v>229</v>
      </c>
      <c r="I40" s="142">
        <v>679650</v>
      </c>
      <c r="J40" s="143"/>
    </row>
    <row r="41" spans="1:10" x14ac:dyDescent="0.2">
      <c r="A41" s="140" t="s">
        <v>110</v>
      </c>
      <c r="B41" s="143" t="str">
        <f t="shared" si="0"/>
        <v>ORAN</v>
      </c>
      <c r="C41" s="143" t="str">
        <f t="shared" si="1"/>
        <v>668,750 PHOENIX</v>
      </c>
      <c r="G41" s="140">
        <v>37</v>
      </c>
      <c r="H41" s="140" t="s">
        <v>429</v>
      </c>
      <c r="I41" s="142">
        <v>529000</v>
      </c>
      <c r="J41" s="143"/>
    </row>
    <row r="42" spans="1:10" x14ac:dyDescent="0.2">
      <c r="B42" s="143"/>
      <c r="C42" s="143"/>
      <c r="G42" s="140">
        <v>38</v>
      </c>
      <c r="H42" s="140" t="s">
        <v>230</v>
      </c>
      <c r="I42" s="142">
        <v>615250</v>
      </c>
      <c r="J42" s="143"/>
    </row>
    <row r="43" spans="1:10" x14ac:dyDescent="0.2">
      <c r="B43" s="143"/>
      <c r="C43" s="143"/>
      <c r="G43" s="140">
        <v>39</v>
      </c>
      <c r="H43" s="140" t="s">
        <v>209</v>
      </c>
      <c r="I43" s="142">
        <v>679650</v>
      </c>
      <c r="J43" s="143"/>
    </row>
    <row r="44" spans="1:10" x14ac:dyDescent="0.2">
      <c r="A44" s="140" t="s">
        <v>111</v>
      </c>
      <c r="B44" s="143" t="str">
        <f t="shared" si="0"/>
        <v>SAN BENI</v>
      </c>
      <c r="C44" s="143" t="str">
        <f t="shared" si="1"/>
        <v>823,750 PHOENIX</v>
      </c>
      <c r="G44" s="140">
        <v>40</v>
      </c>
      <c r="H44" s="140" t="s">
        <v>430</v>
      </c>
      <c r="I44" s="142">
        <v>477250</v>
      </c>
      <c r="J44" s="143"/>
    </row>
    <row r="45" spans="1:10" x14ac:dyDescent="0.2">
      <c r="A45" s="140" t="s">
        <v>112</v>
      </c>
      <c r="B45" s="143" t="str">
        <f t="shared" si="0"/>
        <v>SAN DIEG</v>
      </c>
      <c r="C45" s="143" t="str">
        <f t="shared" si="1"/>
        <v>500,000 PHOENIX</v>
      </c>
      <c r="G45" s="140">
        <v>41</v>
      </c>
      <c r="H45" s="140" t="s">
        <v>231</v>
      </c>
      <c r="I45" s="142">
        <v>679650</v>
      </c>
      <c r="J45" s="143"/>
    </row>
    <row r="46" spans="1:10" x14ac:dyDescent="0.2">
      <c r="A46" s="140" t="s">
        <v>113</v>
      </c>
      <c r="B46" s="143" t="str">
        <f t="shared" si="0"/>
        <v>SAN FRAN</v>
      </c>
      <c r="C46" s="143" t="str">
        <f t="shared" si="1"/>
        <v>987,500 PHOENIX</v>
      </c>
      <c r="G46" s="140">
        <v>42</v>
      </c>
      <c r="H46" s="140" t="s">
        <v>346</v>
      </c>
      <c r="I46" s="142">
        <v>517500</v>
      </c>
      <c r="J46" s="143"/>
    </row>
    <row r="47" spans="1:10" x14ac:dyDescent="0.2">
      <c r="A47" s="140" t="s">
        <v>114</v>
      </c>
      <c r="B47" s="143" t="str">
        <f t="shared" si="0"/>
        <v>SAN LUIS OBIS</v>
      </c>
      <c r="C47" s="143" t="str">
        <f t="shared" si="1"/>
        <v>481,250 PHOENIX</v>
      </c>
      <c r="G47" s="140">
        <v>43</v>
      </c>
      <c r="H47" s="140" t="s">
        <v>345</v>
      </c>
      <c r="I47" s="142">
        <v>517500</v>
      </c>
      <c r="J47" s="143"/>
    </row>
    <row r="48" spans="1:10" x14ac:dyDescent="0.2">
      <c r="A48" s="140" t="s">
        <v>115</v>
      </c>
      <c r="B48" s="143" t="str">
        <f t="shared" si="0"/>
        <v>SAN MATE</v>
      </c>
      <c r="C48" s="143" t="str">
        <f t="shared" si="1"/>
        <v>987,500 PHOENIX</v>
      </c>
      <c r="G48" s="140">
        <v>44</v>
      </c>
      <c r="H48" s="140" t="s">
        <v>232</v>
      </c>
      <c r="I48" s="142">
        <v>679650</v>
      </c>
      <c r="J48" s="143"/>
    </row>
    <row r="49" spans="1:10" x14ac:dyDescent="0.2">
      <c r="A49" s="140" t="s">
        <v>116</v>
      </c>
      <c r="B49" s="143" t="str">
        <f t="shared" si="0"/>
        <v>SANTA BARB</v>
      </c>
      <c r="C49" s="143" t="str">
        <f t="shared" si="1"/>
        <v>593,750 PHOENIX</v>
      </c>
      <c r="G49" s="140">
        <v>45</v>
      </c>
      <c r="H49" s="140" t="s">
        <v>233</v>
      </c>
      <c r="I49" s="142">
        <v>649750</v>
      </c>
      <c r="J49" s="143"/>
    </row>
    <row r="50" spans="1:10" x14ac:dyDescent="0.2">
      <c r="A50" s="140" t="s">
        <v>117</v>
      </c>
      <c r="B50" s="143" t="str">
        <f t="shared" si="0"/>
        <v>SANTA CLAR</v>
      </c>
      <c r="C50" s="143" t="str">
        <f t="shared" si="1"/>
        <v>823,750 PHOENIX</v>
      </c>
      <c r="G50" s="140">
        <v>46</v>
      </c>
      <c r="H50" s="140" t="s">
        <v>234</v>
      </c>
      <c r="I50" s="142">
        <v>679650</v>
      </c>
      <c r="J50" s="143"/>
    </row>
    <row r="51" spans="1:10" x14ac:dyDescent="0.2">
      <c r="A51" s="140" t="s">
        <v>118</v>
      </c>
      <c r="B51" s="143" t="str">
        <f t="shared" si="0"/>
        <v>SANTA CRUZ</v>
      </c>
      <c r="C51" s="143" t="str">
        <f t="shared" si="1"/>
        <v>668,750 PHOENIX</v>
      </c>
      <c r="G51" s="140">
        <v>47</v>
      </c>
      <c r="H51" s="140" t="s">
        <v>235</v>
      </c>
      <c r="I51" s="142">
        <v>615250</v>
      </c>
      <c r="J51" s="143"/>
    </row>
    <row r="52" spans="1:10" x14ac:dyDescent="0.2">
      <c r="A52" s="140" t="s">
        <v>119</v>
      </c>
      <c r="B52" s="143" t="str">
        <f t="shared" si="0"/>
        <v>SONO</v>
      </c>
      <c r="C52" s="143" t="str">
        <f t="shared" si="1"/>
        <v>448,750 PHOENIX</v>
      </c>
      <c r="G52" s="140">
        <v>48</v>
      </c>
      <c r="H52" s="140" t="s">
        <v>236</v>
      </c>
      <c r="I52" s="142">
        <v>679650</v>
      </c>
      <c r="J52" s="143"/>
    </row>
    <row r="53" spans="1:10" x14ac:dyDescent="0.2">
      <c r="A53" s="140" t="s">
        <v>120</v>
      </c>
      <c r="B53" s="143" t="str">
        <f t="shared" si="0"/>
        <v>VENT</v>
      </c>
      <c r="C53" s="143" t="str">
        <f t="shared" si="1"/>
        <v>546,250 PHOENIX</v>
      </c>
      <c r="G53" s="140">
        <v>49</v>
      </c>
      <c r="H53" s="140" t="s">
        <v>237</v>
      </c>
      <c r="I53" s="142">
        <v>625500</v>
      </c>
      <c r="J53" s="143"/>
    </row>
    <row r="54" spans="1:10" x14ac:dyDescent="0.2">
      <c r="B54" s="143"/>
      <c r="C54" s="143"/>
      <c r="G54" s="140">
        <v>50</v>
      </c>
      <c r="H54" s="140" t="s">
        <v>238</v>
      </c>
      <c r="I54" s="142">
        <v>679650</v>
      </c>
      <c r="J54" s="143"/>
    </row>
    <row r="55" spans="1:10" x14ac:dyDescent="0.2">
      <c r="B55" s="143"/>
      <c r="C55" s="143"/>
      <c r="G55" s="140">
        <v>51</v>
      </c>
      <c r="H55" s="140" t="s">
        <v>210</v>
      </c>
      <c r="I55" s="142">
        <v>679650</v>
      </c>
      <c r="J55" s="143"/>
    </row>
    <row r="56" spans="1:10" x14ac:dyDescent="0.2">
      <c r="B56" s="143"/>
      <c r="C56" s="143"/>
      <c r="G56" s="140">
        <v>52</v>
      </c>
      <c r="H56" s="140" t="s">
        <v>474</v>
      </c>
      <c r="I56" s="142">
        <v>460000</v>
      </c>
      <c r="J56" s="143"/>
    </row>
    <row r="57" spans="1:10" x14ac:dyDescent="0.2">
      <c r="A57" s="140" t="s">
        <v>121</v>
      </c>
      <c r="B57" s="143" t="str">
        <f t="shared" si="0"/>
        <v>BOUL</v>
      </c>
      <c r="C57" s="143" t="str">
        <f t="shared" si="1"/>
        <v>443,750 DENVER</v>
      </c>
      <c r="G57" s="140">
        <v>53</v>
      </c>
      <c r="H57" s="140" t="s">
        <v>239</v>
      </c>
      <c r="I57" s="142">
        <v>648600</v>
      </c>
      <c r="J57" s="143"/>
    </row>
    <row r="58" spans="1:10" x14ac:dyDescent="0.2">
      <c r="B58" s="143"/>
      <c r="C58" s="143"/>
      <c r="G58" s="140">
        <v>54</v>
      </c>
      <c r="H58" s="140" t="s">
        <v>240</v>
      </c>
      <c r="I58" s="142">
        <v>672750</v>
      </c>
      <c r="J58" s="143"/>
    </row>
    <row r="59" spans="1:10" x14ac:dyDescent="0.2">
      <c r="B59" s="143"/>
      <c r="C59" s="143"/>
      <c r="G59" s="140">
        <v>55</v>
      </c>
      <c r="H59" s="140" t="s">
        <v>347</v>
      </c>
      <c r="I59" s="142">
        <v>517500</v>
      </c>
      <c r="J59" s="143"/>
    </row>
    <row r="60" spans="1:10" x14ac:dyDescent="0.2">
      <c r="B60" s="143"/>
      <c r="C60" s="143"/>
      <c r="G60" s="140">
        <v>56</v>
      </c>
      <c r="H60" s="140" t="s">
        <v>348</v>
      </c>
      <c r="I60" s="142">
        <v>529000</v>
      </c>
      <c r="J60" s="143"/>
    </row>
    <row r="61" spans="1:10" x14ac:dyDescent="0.2">
      <c r="B61" s="143"/>
      <c r="C61" s="143"/>
      <c r="G61" s="140">
        <v>57</v>
      </c>
      <c r="H61" s="140" t="s">
        <v>349</v>
      </c>
      <c r="I61" s="142">
        <v>529000</v>
      </c>
      <c r="J61" s="143"/>
    </row>
    <row r="62" spans="1:10" x14ac:dyDescent="0.2">
      <c r="A62" s="140" t="s">
        <v>122</v>
      </c>
      <c r="B62" s="143" t="str">
        <f t="shared" si="0"/>
        <v>EAGL</v>
      </c>
      <c r="C62" s="143" t="str">
        <f t="shared" si="1"/>
        <v>712,500 DENVER</v>
      </c>
      <c r="G62" s="140">
        <v>58</v>
      </c>
      <c r="H62" s="140" t="s">
        <v>241</v>
      </c>
      <c r="I62" s="142">
        <v>578450</v>
      </c>
      <c r="J62" s="143"/>
    </row>
    <row r="63" spans="1:10" x14ac:dyDescent="0.2">
      <c r="B63" s="143"/>
      <c r="C63" s="143"/>
      <c r="G63" s="140">
        <v>59</v>
      </c>
      <c r="H63" s="140" t="s">
        <v>350</v>
      </c>
      <c r="I63" s="142">
        <v>529000</v>
      </c>
      <c r="J63" s="143"/>
    </row>
    <row r="64" spans="1:10" x14ac:dyDescent="0.2">
      <c r="B64" s="143"/>
      <c r="C64" s="143"/>
      <c r="G64" s="140">
        <v>60</v>
      </c>
      <c r="H64" s="140" t="s">
        <v>351</v>
      </c>
      <c r="I64" s="142">
        <v>529000</v>
      </c>
      <c r="J64" s="143"/>
    </row>
    <row r="65" spans="1:10" x14ac:dyDescent="0.2">
      <c r="B65" s="143"/>
      <c r="C65" s="143"/>
      <c r="G65" s="140">
        <v>61</v>
      </c>
      <c r="H65" s="140" t="s">
        <v>352</v>
      </c>
      <c r="I65" s="142">
        <v>529000</v>
      </c>
      <c r="J65" s="143"/>
    </row>
    <row r="66" spans="1:10" x14ac:dyDescent="0.2">
      <c r="B66" s="143"/>
      <c r="C66" s="143"/>
      <c r="G66" s="140">
        <v>62</v>
      </c>
      <c r="H66" s="140" t="s">
        <v>353</v>
      </c>
      <c r="I66" s="142">
        <v>529000</v>
      </c>
      <c r="J66" s="143"/>
    </row>
    <row r="67" spans="1:10" x14ac:dyDescent="0.2">
      <c r="B67" s="143"/>
      <c r="C67" s="143"/>
      <c r="G67" s="140">
        <v>63</v>
      </c>
      <c r="H67" s="140" t="s">
        <v>242</v>
      </c>
      <c r="I67" s="142">
        <v>636150</v>
      </c>
      <c r="J67" s="143"/>
    </row>
    <row r="68" spans="1:10" x14ac:dyDescent="0.2">
      <c r="A68" s="140" t="s">
        <v>123</v>
      </c>
      <c r="B68" s="143" t="str">
        <f t="shared" si="0"/>
        <v>PITK</v>
      </c>
      <c r="C68" s="143" t="str">
        <f t="shared" si="1"/>
        <v>1,094,625 DENVER</v>
      </c>
      <c r="G68" s="140">
        <v>64</v>
      </c>
      <c r="H68" s="140" t="s">
        <v>354</v>
      </c>
      <c r="I68" s="142">
        <v>529000</v>
      </c>
      <c r="J68" s="143"/>
    </row>
    <row r="69" spans="1:10" x14ac:dyDescent="0.2">
      <c r="A69" s="140" t="s">
        <v>124</v>
      </c>
      <c r="B69" s="143" t="str">
        <f t="shared" si="0"/>
        <v>ROUT</v>
      </c>
      <c r="C69" s="143" t="str">
        <f t="shared" si="1"/>
        <v>550,000 DENVER</v>
      </c>
      <c r="G69" s="140">
        <v>65</v>
      </c>
      <c r="H69" s="140" t="s">
        <v>355</v>
      </c>
      <c r="I69" s="142">
        <v>679650</v>
      </c>
      <c r="J69" s="143"/>
    </row>
    <row r="70" spans="1:10" x14ac:dyDescent="0.2">
      <c r="A70" s="140" t="s">
        <v>125</v>
      </c>
      <c r="B70" s="143" t="str">
        <f t="shared" si="0"/>
        <v>SUMM</v>
      </c>
      <c r="C70" s="143" t="str">
        <f t="shared" si="1"/>
        <v>667,500 DENVER</v>
      </c>
      <c r="G70" s="140">
        <v>66</v>
      </c>
      <c r="H70" s="140" t="s">
        <v>356</v>
      </c>
      <c r="I70" s="142">
        <v>529000</v>
      </c>
      <c r="J70" s="143"/>
    </row>
    <row r="71" spans="1:10" x14ac:dyDescent="0.2">
      <c r="A71" s="140" t="s">
        <v>126</v>
      </c>
      <c r="B71" s="143" t="str">
        <f t="shared" si="0"/>
        <v>FAIR</v>
      </c>
      <c r="C71" s="143" t="str">
        <f t="shared" si="1"/>
        <v>612,500 CLEVELAND</v>
      </c>
      <c r="G71" s="140">
        <v>67</v>
      </c>
      <c r="H71" s="140" t="s">
        <v>357</v>
      </c>
      <c r="I71" s="142">
        <v>529000</v>
      </c>
      <c r="J71" s="143"/>
    </row>
    <row r="72" spans="1:10" x14ac:dyDescent="0.2">
      <c r="A72" s="140" t="s">
        <v>127</v>
      </c>
      <c r="B72" s="143" t="str">
        <f t="shared" si="0"/>
        <v xml:space="preserve">DISTRICT OF COL </v>
      </c>
      <c r="C72" s="143" t="str">
        <f t="shared" si="1"/>
        <v>843,750 ROANOKE</v>
      </c>
      <c r="G72" s="140">
        <v>68</v>
      </c>
      <c r="H72" s="140" t="s">
        <v>391</v>
      </c>
      <c r="I72" s="142">
        <v>625500</v>
      </c>
      <c r="J72" s="143"/>
    </row>
    <row r="73" spans="1:10" x14ac:dyDescent="0.2">
      <c r="B73" s="143"/>
      <c r="C73" s="143"/>
      <c r="G73" s="140">
        <v>69</v>
      </c>
      <c r="H73" s="140" t="s">
        <v>358</v>
      </c>
      <c r="I73" s="142">
        <v>529000</v>
      </c>
      <c r="J73" s="143"/>
    </row>
    <row r="74" spans="1:10" x14ac:dyDescent="0.2">
      <c r="A74" s="140" t="s">
        <v>128</v>
      </c>
      <c r="B74" s="143" t="str">
        <f t="shared" si="0"/>
        <v>GUAM</v>
      </c>
      <c r="C74" s="143" t="str">
        <f t="shared" si="1"/>
        <v>625,500 HONOLULU</v>
      </c>
      <c r="G74" s="140">
        <v>70</v>
      </c>
      <c r="H74" s="140" t="s">
        <v>243</v>
      </c>
      <c r="I74" s="142">
        <v>679650</v>
      </c>
      <c r="J74" s="143"/>
    </row>
    <row r="75" spans="1:10" x14ac:dyDescent="0.2">
      <c r="A75" s="140" t="s">
        <v>129</v>
      </c>
      <c r="B75" s="143" t="str">
        <f t="shared" si="0"/>
        <v>HAWA</v>
      </c>
      <c r="C75" s="143" t="str">
        <f t="shared" si="1"/>
        <v>625,500 HONOLULU</v>
      </c>
      <c r="G75" s="140">
        <v>71</v>
      </c>
      <c r="H75" s="140" t="s">
        <v>244</v>
      </c>
      <c r="I75" s="142">
        <v>625500</v>
      </c>
      <c r="J75" s="143"/>
    </row>
    <row r="76" spans="1:10" x14ac:dyDescent="0.2">
      <c r="A76" s="140" t="s">
        <v>130</v>
      </c>
      <c r="B76" s="143" t="str">
        <f t="shared" si="0"/>
        <v>HONO</v>
      </c>
      <c r="C76" s="143" t="str">
        <f t="shared" si="1"/>
        <v>750,000 HONOLULU</v>
      </c>
      <c r="G76" s="140">
        <v>72</v>
      </c>
      <c r="H76" s="140" t="s">
        <v>431</v>
      </c>
      <c r="I76" s="142">
        <v>625500</v>
      </c>
      <c r="J76" s="143"/>
    </row>
    <row r="77" spans="1:10" x14ac:dyDescent="0.2">
      <c r="A77" s="140" t="s">
        <v>131</v>
      </c>
      <c r="B77" s="143" t="str">
        <f t="shared" si="0"/>
        <v>KALA</v>
      </c>
      <c r="C77" s="143" t="str">
        <f t="shared" si="1"/>
        <v>625,500 HONOLULU</v>
      </c>
      <c r="G77" s="140">
        <v>73</v>
      </c>
      <c r="H77" s="140" t="s">
        <v>245</v>
      </c>
      <c r="I77" s="142">
        <v>625500</v>
      </c>
      <c r="J77" s="143"/>
    </row>
    <row r="78" spans="1:10" x14ac:dyDescent="0.2">
      <c r="A78" s="140" t="s">
        <v>132</v>
      </c>
      <c r="B78" s="143" t="str">
        <f t="shared" si="0"/>
        <v>KAUA</v>
      </c>
      <c r="C78" s="143" t="str">
        <f t="shared" si="1"/>
        <v>625,500 HONOLULU</v>
      </c>
      <c r="G78" s="140">
        <v>74</v>
      </c>
      <c r="H78" s="140" t="s">
        <v>246</v>
      </c>
      <c r="I78" s="142">
        <v>601450</v>
      </c>
      <c r="J78" s="143"/>
    </row>
    <row r="79" spans="1:10" x14ac:dyDescent="0.2">
      <c r="A79" s="140" t="s">
        <v>133</v>
      </c>
      <c r="B79" s="143" t="str">
        <f t="shared" si="0"/>
        <v>MAUI</v>
      </c>
      <c r="C79" s="143" t="str">
        <f t="shared" si="1"/>
        <v>625,500 HONOLULU</v>
      </c>
      <c r="G79" s="140">
        <v>75</v>
      </c>
      <c r="H79" s="140" t="s">
        <v>454</v>
      </c>
      <c r="I79" s="142">
        <v>679650</v>
      </c>
      <c r="J79" s="143"/>
    </row>
    <row r="80" spans="1:10" x14ac:dyDescent="0.2">
      <c r="A80" s="140" t="s">
        <v>134</v>
      </c>
      <c r="B80" s="143" t="str">
        <f t="shared" si="0"/>
        <v>TETO</v>
      </c>
      <c r="C80" s="143" t="str">
        <f t="shared" si="1"/>
        <v>635,000 DENVER</v>
      </c>
      <c r="G80" s="140">
        <v>76</v>
      </c>
      <c r="H80" s="140" t="s">
        <v>455</v>
      </c>
      <c r="I80" s="142">
        <v>529000</v>
      </c>
      <c r="J80" s="143"/>
    </row>
    <row r="81" spans="1:10" x14ac:dyDescent="0.2">
      <c r="B81" s="143"/>
      <c r="C81" s="143"/>
      <c r="G81" s="140">
        <v>77</v>
      </c>
      <c r="H81" s="140" t="s">
        <v>392</v>
      </c>
      <c r="I81" s="142">
        <v>515200</v>
      </c>
      <c r="J81" s="143"/>
    </row>
    <row r="82" spans="1:10" x14ac:dyDescent="0.2">
      <c r="A82" s="140" t="s">
        <v>135</v>
      </c>
      <c r="B82" s="143" t="str">
        <f t="shared" si="0"/>
        <v>DUKE</v>
      </c>
      <c r="C82" s="143" t="str">
        <f t="shared" si="1"/>
        <v>723,750 CLEVELAND</v>
      </c>
      <c r="G82" s="140">
        <v>78</v>
      </c>
      <c r="H82" s="140" t="s">
        <v>211</v>
      </c>
      <c r="I82" s="142">
        <v>679650</v>
      </c>
      <c r="J82" s="143"/>
    </row>
    <row r="83" spans="1:10" x14ac:dyDescent="0.2">
      <c r="A83" s="140" t="s">
        <v>136</v>
      </c>
      <c r="B83" s="143" t="str">
        <f t="shared" si="0"/>
        <v>ESSE</v>
      </c>
      <c r="C83" s="143" t="str">
        <f t="shared" si="1"/>
        <v>500,000 CLEVELAND</v>
      </c>
      <c r="G83" s="140">
        <v>79</v>
      </c>
      <c r="H83" s="140" t="s">
        <v>247</v>
      </c>
      <c r="I83" s="142">
        <v>679650</v>
      </c>
      <c r="J83" s="143"/>
    </row>
    <row r="84" spans="1:10" x14ac:dyDescent="0.2">
      <c r="A84" s="140" t="s">
        <v>137</v>
      </c>
      <c r="B84" s="143" t="str">
        <f t="shared" ref="B84:B170" si="2">MID($A84,FIND(CHAR(22),SUBSTITUTE($A84," ",CHAR(22),1))+1,FIND(CHAR(22),SUBSTITUTE($A84," ",CHAR(22),LEN($A84)-LEN(SUBSTITUTE($A84," ",""))-2))+1)</f>
        <v>MIDD</v>
      </c>
      <c r="C84" s="143" t="str">
        <f t="shared" si="1"/>
        <v>500,000 CLEVELAND</v>
      </c>
      <c r="G84" s="140">
        <v>80</v>
      </c>
      <c r="H84" s="140" t="s">
        <v>248</v>
      </c>
      <c r="I84" s="142">
        <v>721050</v>
      </c>
      <c r="J84" s="143"/>
    </row>
    <row r="85" spans="1:10" x14ac:dyDescent="0.2">
      <c r="A85" s="140" t="s">
        <v>138</v>
      </c>
      <c r="B85" s="143" t="str">
        <f t="shared" si="2"/>
        <v>NANT</v>
      </c>
      <c r="C85" s="143" t="str">
        <f t="shared" ref="C85:C171" si="3">MID($A85,FIND(CHAR(22),SUBSTITUTE($A85," ",CHAR(22),LEN($A85)-LEN(SUBSTITUTE($A85," ",""))-1))+1,255)</f>
        <v>1,094,625 CLEVELAND</v>
      </c>
      <c r="G85" s="140">
        <v>81</v>
      </c>
      <c r="H85" s="140" t="s">
        <v>249</v>
      </c>
      <c r="I85" s="142">
        <v>679650</v>
      </c>
      <c r="J85" s="143"/>
    </row>
    <row r="86" spans="1:10" x14ac:dyDescent="0.2">
      <c r="A86" s="140" t="s">
        <v>139</v>
      </c>
      <c r="B86" s="143" t="str">
        <f t="shared" si="2"/>
        <v>NORF</v>
      </c>
      <c r="C86" s="143" t="str">
        <f t="shared" si="3"/>
        <v>500,000 CLEVELAND</v>
      </c>
      <c r="G86" s="140">
        <v>82</v>
      </c>
      <c r="H86" s="140" t="s">
        <v>250</v>
      </c>
      <c r="I86" s="142">
        <v>713000</v>
      </c>
      <c r="J86" s="143"/>
    </row>
    <row r="87" spans="1:10" x14ac:dyDescent="0.2">
      <c r="A87" s="140" t="s">
        <v>140</v>
      </c>
      <c r="B87" s="143" t="str">
        <f t="shared" si="2"/>
        <v>PLYM</v>
      </c>
      <c r="C87" s="143" t="str">
        <f t="shared" si="3"/>
        <v>500,000 CLEVELAND</v>
      </c>
      <c r="G87" s="140">
        <v>83</v>
      </c>
      <c r="H87" s="140" t="s">
        <v>212</v>
      </c>
      <c r="I87" s="142">
        <v>679650</v>
      </c>
      <c r="J87" s="143"/>
    </row>
    <row r="88" spans="1:10" x14ac:dyDescent="0.2">
      <c r="A88" s="140" t="s">
        <v>141</v>
      </c>
      <c r="B88" s="143" t="str">
        <f t="shared" si="2"/>
        <v>SUFF</v>
      </c>
      <c r="C88" s="143" t="str">
        <f t="shared" si="3"/>
        <v>500,000 CLEVELAND</v>
      </c>
      <c r="G88" s="140">
        <v>84</v>
      </c>
      <c r="H88" s="140" t="s">
        <v>393</v>
      </c>
      <c r="I88" s="142">
        <v>625500</v>
      </c>
      <c r="J88" s="143"/>
    </row>
    <row r="89" spans="1:10" x14ac:dyDescent="0.2">
      <c r="A89" s="140" t="s">
        <v>142</v>
      </c>
      <c r="B89" s="143" t="str">
        <f t="shared" si="2"/>
        <v>ANNE ARUN</v>
      </c>
      <c r="C89" s="143" t="str">
        <f t="shared" si="3"/>
        <v>500,000 ROANOKE</v>
      </c>
      <c r="G89" s="140">
        <v>85</v>
      </c>
      <c r="H89" s="140" t="s">
        <v>394</v>
      </c>
      <c r="I89" s="142">
        <v>625500</v>
      </c>
      <c r="J89" s="143"/>
    </row>
    <row r="90" spans="1:10" x14ac:dyDescent="0.2">
      <c r="A90" s="140" t="s">
        <v>143</v>
      </c>
      <c r="B90" s="143" t="str">
        <f t="shared" si="2"/>
        <v>BALT</v>
      </c>
      <c r="C90" s="143" t="str">
        <f t="shared" si="3"/>
        <v>500,000 ROANOKE</v>
      </c>
      <c r="G90" s="140">
        <v>86</v>
      </c>
      <c r="H90" s="140" t="s">
        <v>395</v>
      </c>
      <c r="I90" s="142">
        <v>625500</v>
      </c>
      <c r="J90" s="143"/>
    </row>
    <row r="91" spans="1:10" x14ac:dyDescent="0.2">
      <c r="A91" s="140" t="s">
        <v>144</v>
      </c>
      <c r="B91" s="143" t="str">
        <f t="shared" si="2"/>
        <v>BALTIMORE CITY</v>
      </c>
      <c r="C91" s="143" t="str">
        <f t="shared" si="3"/>
        <v>500,000 ROANOKE</v>
      </c>
      <c r="G91" s="140">
        <v>87</v>
      </c>
      <c r="H91" s="140" t="s">
        <v>456</v>
      </c>
      <c r="I91" s="142">
        <v>679650</v>
      </c>
      <c r="J91" s="143"/>
    </row>
    <row r="92" spans="1:10" x14ac:dyDescent="0.2">
      <c r="A92" s="140" t="s">
        <v>145</v>
      </c>
      <c r="B92" s="143" t="str">
        <f t="shared" si="2"/>
        <v>CALV</v>
      </c>
      <c r="C92" s="143" t="str">
        <f t="shared" si="3"/>
        <v>843,750 ROANOKE</v>
      </c>
      <c r="G92" s="140">
        <v>88</v>
      </c>
      <c r="H92" s="140" t="s">
        <v>251</v>
      </c>
      <c r="I92" s="142">
        <v>679650</v>
      </c>
      <c r="J92" s="143"/>
    </row>
    <row r="93" spans="1:10" x14ac:dyDescent="0.2">
      <c r="A93" s="140" t="s">
        <v>146</v>
      </c>
      <c r="B93" s="143" t="str">
        <f t="shared" si="2"/>
        <v>CARR</v>
      </c>
      <c r="C93" s="143" t="str">
        <f t="shared" si="3"/>
        <v>500,000 ROANOKE</v>
      </c>
      <c r="G93" s="140">
        <v>89</v>
      </c>
      <c r="H93" s="140" t="s">
        <v>252</v>
      </c>
      <c r="I93" s="142">
        <v>603750</v>
      </c>
      <c r="J93" s="143"/>
    </row>
    <row r="94" spans="1:10" x14ac:dyDescent="0.2">
      <c r="A94" s="140" t="s">
        <v>147</v>
      </c>
      <c r="B94" s="143" t="str">
        <f t="shared" si="2"/>
        <v>CHAR</v>
      </c>
      <c r="C94" s="143" t="str">
        <f t="shared" si="3"/>
        <v>843,750 ROANOKE</v>
      </c>
      <c r="G94" s="140">
        <v>90</v>
      </c>
      <c r="H94" s="140" t="s">
        <v>253</v>
      </c>
      <c r="I94" s="142">
        <v>603750</v>
      </c>
      <c r="J94" s="143"/>
    </row>
    <row r="95" spans="1:10" x14ac:dyDescent="0.2">
      <c r="A95" s="140" t="s">
        <v>148</v>
      </c>
      <c r="B95" s="143" t="str">
        <f t="shared" si="2"/>
        <v>FRED</v>
      </c>
      <c r="C95" s="143" t="str">
        <f t="shared" si="3"/>
        <v>843,750 ROANOKE</v>
      </c>
      <c r="G95" s="140">
        <v>91</v>
      </c>
      <c r="H95" s="140" t="s">
        <v>254</v>
      </c>
      <c r="I95" s="142">
        <v>679650</v>
      </c>
      <c r="J95" s="143"/>
    </row>
    <row r="96" spans="1:10" x14ac:dyDescent="0.2">
      <c r="A96" s="140" t="s">
        <v>149</v>
      </c>
      <c r="B96" s="143" t="str">
        <f t="shared" si="2"/>
        <v>HARF</v>
      </c>
      <c r="C96" s="143" t="str">
        <f t="shared" si="3"/>
        <v>500,000 ROANOKE</v>
      </c>
      <c r="G96" s="140">
        <v>92</v>
      </c>
      <c r="H96" s="140" t="s">
        <v>255</v>
      </c>
      <c r="I96" s="142">
        <v>603750</v>
      </c>
      <c r="J96" s="143"/>
    </row>
    <row r="97" spans="1:10" x14ac:dyDescent="0.2">
      <c r="A97" s="140" t="s">
        <v>150</v>
      </c>
      <c r="B97" s="143" t="str">
        <f t="shared" si="2"/>
        <v>HOWA</v>
      </c>
      <c r="C97" s="143" t="str">
        <f t="shared" si="3"/>
        <v>500,000 ROANOKE</v>
      </c>
      <c r="G97" s="140">
        <v>93</v>
      </c>
      <c r="H97" s="140" t="s">
        <v>256</v>
      </c>
      <c r="I97" s="142">
        <v>603750</v>
      </c>
      <c r="J97" s="143"/>
    </row>
    <row r="98" spans="1:10" x14ac:dyDescent="0.2">
      <c r="A98" s="140" t="s">
        <v>151</v>
      </c>
      <c r="B98" s="143" t="str">
        <f t="shared" si="2"/>
        <v>MONT</v>
      </c>
      <c r="C98" s="143" t="str">
        <f t="shared" si="3"/>
        <v>843,750 ROANOKE</v>
      </c>
      <c r="G98" s="140">
        <v>94</v>
      </c>
      <c r="H98" s="140" t="s">
        <v>257</v>
      </c>
      <c r="I98" s="142">
        <v>603750</v>
      </c>
      <c r="J98" s="143"/>
    </row>
    <row r="99" spans="1:10" x14ac:dyDescent="0.2">
      <c r="A99" s="140" t="s">
        <v>152</v>
      </c>
      <c r="B99" s="143" t="str">
        <f t="shared" si="2"/>
        <v>PRINCE GEOR</v>
      </c>
      <c r="C99" s="143" t="str">
        <f t="shared" si="3"/>
        <v>843,750 ROANOKE</v>
      </c>
      <c r="G99" s="140">
        <v>95</v>
      </c>
      <c r="H99" s="140" t="s">
        <v>258</v>
      </c>
      <c r="I99" s="142">
        <v>517500</v>
      </c>
      <c r="J99" s="143"/>
    </row>
    <row r="100" spans="1:10" x14ac:dyDescent="0.2">
      <c r="A100" s="140" t="s">
        <v>153</v>
      </c>
      <c r="B100" s="143" t="str">
        <f t="shared" si="2"/>
        <v>QUEEN ANNE</v>
      </c>
      <c r="C100" s="143" t="str">
        <f t="shared" si="3"/>
        <v>500,000 ROANOKE</v>
      </c>
      <c r="G100" s="140">
        <v>96</v>
      </c>
      <c r="H100" s="140" t="s">
        <v>259</v>
      </c>
      <c r="I100" s="142">
        <v>517500</v>
      </c>
      <c r="J100" s="143"/>
    </row>
    <row r="101" spans="1:10" x14ac:dyDescent="0.2">
      <c r="B101" s="143"/>
      <c r="C101" s="143"/>
      <c r="G101" s="140">
        <v>97</v>
      </c>
      <c r="H101" s="140" t="s">
        <v>213</v>
      </c>
      <c r="I101" s="142">
        <v>517500</v>
      </c>
      <c r="J101" s="143"/>
    </row>
    <row r="102" spans="1:10" x14ac:dyDescent="0.2">
      <c r="A102" s="140" t="s">
        <v>154</v>
      </c>
      <c r="B102" s="143" t="str">
        <f t="shared" si="2"/>
        <v>ROCK</v>
      </c>
      <c r="C102" s="143" t="str">
        <f t="shared" si="3"/>
        <v>500,000 CLEVELAND</v>
      </c>
      <c r="G102" s="140">
        <v>98</v>
      </c>
      <c r="H102" s="140" t="s">
        <v>260</v>
      </c>
      <c r="I102" s="142">
        <v>679650</v>
      </c>
      <c r="J102" s="143"/>
    </row>
    <row r="103" spans="1:10" x14ac:dyDescent="0.2">
      <c r="A103" s="140" t="s">
        <v>155</v>
      </c>
      <c r="B103" s="143" t="str">
        <f t="shared" si="2"/>
        <v>STRA</v>
      </c>
      <c r="C103" s="143" t="str">
        <f t="shared" si="3"/>
        <v>500,000 CLEVELAND</v>
      </c>
      <c r="G103" s="140">
        <v>99</v>
      </c>
      <c r="H103" s="140" t="s">
        <v>261</v>
      </c>
      <c r="I103" s="142">
        <v>517500</v>
      </c>
      <c r="J103" s="143"/>
    </row>
    <row r="104" spans="1:10" x14ac:dyDescent="0.2">
      <c r="A104" s="140" t="s">
        <v>156</v>
      </c>
      <c r="B104" s="143" t="str">
        <f t="shared" si="2"/>
        <v>BERG</v>
      </c>
      <c r="C104" s="143" t="str">
        <f t="shared" si="3"/>
        <v>722,500 CLEVELAND</v>
      </c>
      <c r="G104" s="140">
        <v>100</v>
      </c>
      <c r="H104" s="140" t="s">
        <v>262</v>
      </c>
      <c r="I104" s="142">
        <v>679650</v>
      </c>
      <c r="J104" s="143"/>
    </row>
    <row r="105" spans="1:10" x14ac:dyDescent="0.2">
      <c r="A105" s="140" t="s">
        <v>157</v>
      </c>
      <c r="B105" s="143" t="str">
        <f t="shared" si="2"/>
        <v>ESSE</v>
      </c>
      <c r="C105" s="143" t="str">
        <f t="shared" si="3"/>
        <v>722,500 CLEVELAND</v>
      </c>
      <c r="G105" s="140">
        <v>101</v>
      </c>
      <c r="H105" s="140" t="s">
        <v>263</v>
      </c>
      <c r="I105" s="142">
        <v>679650</v>
      </c>
      <c r="J105" s="143"/>
    </row>
    <row r="106" spans="1:10" x14ac:dyDescent="0.2">
      <c r="A106" s="140" t="s">
        <v>158</v>
      </c>
      <c r="B106" s="143" t="str">
        <f t="shared" si="2"/>
        <v>HUDS</v>
      </c>
      <c r="C106" s="143" t="str">
        <f t="shared" si="3"/>
        <v>722,500 CLEVELAND</v>
      </c>
      <c r="G106" s="140">
        <v>102</v>
      </c>
      <c r="H106" s="140" t="s">
        <v>264</v>
      </c>
      <c r="I106" s="142">
        <v>517500</v>
      </c>
      <c r="J106" s="143"/>
    </row>
    <row r="107" spans="1:10" x14ac:dyDescent="0.2">
      <c r="A107" s="140" t="s">
        <v>159</v>
      </c>
      <c r="B107" s="143" t="str">
        <f t="shared" si="2"/>
        <v>HUNT</v>
      </c>
      <c r="C107" s="143" t="str">
        <f t="shared" si="3"/>
        <v>722,500 CLEVELAND</v>
      </c>
      <c r="G107" s="140">
        <v>103</v>
      </c>
      <c r="H107" s="140" t="s">
        <v>265</v>
      </c>
      <c r="I107" s="142">
        <v>517500</v>
      </c>
      <c r="J107" s="143"/>
    </row>
    <row r="108" spans="1:10" x14ac:dyDescent="0.2">
      <c r="A108" s="140" t="s">
        <v>160</v>
      </c>
      <c r="B108" s="143" t="str">
        <f t="shared" si="2"/>
        <v>MIDD</v>
      </c>
      <c r="C108" s="143" t="str">
        <f t="shared" si="3"/>
        <v>722,500 CLEVELAND</v>
      </c>
      <c r="G108" s="140">
        <v>104</v>
      </c>
      <c r="H108" s="140" t="s">
        <v>266</v>
      </c>
      <c r="I108" s="142">
        <v>679650</v>
      </c>
      <c r="J108" s="143"/>
    </row>
    <row r="109" spans="1:10" x14ac:dyDescent="0.2">
      <c r="A109" s="140" t="s">
        <v>161</v>
      </c>
      <c r="B109" s="143" t="str">
        <f t="shared" si="2"/>
        <v>MONM</v>
      </c>
      <c r="C109" s="143" t="str">
        <f t="shared" si="3"/>
        <v>722,500 CLEVELAND</v>
      </c>
      <c r="G109" s="140">
        <v>105</v>
      </c>
      <c r="H109" s="140" t="s">
        <v>267</v>
      </c>
      <c r="I109" s="142">
        <v>679650</v>
      </c>
      <c r="J109" s="143"/>
    </row>
    <row r="110" spans="1:10" x14ac:dyDescent="0.2">
      <c r="A110" s="140" t="s">
        <v>162</v>
      </c>
      <c r="B110" s="143" t="str">
        <f t="shared" si="2"/>
        <v>MORR</v>
      </c>
      <c r="C110" s="143" t="str">
        <f t="shared" si="3"/>
        <v>722,500 CLEVELAND</v>
      </c>
      <c r="G110" s="140">
        <v>106</v>
      </c>
      <c r="H110" s="140" t="s">
        <v>268</v>
      </c>
      <c r="I110" s="142">
        <v>517500</v>
      </c>
      <c r="J110" s="143"/>
    </row>
    <row r="111" spans="1:10" x14ac:dyDescent="0.2">
      <c r="A111" s="140" t="s">
        <v>163</v>
      </c>
      <c r="B111" s="143" t="str">
        <f t="shared" si="2"/>
        <v>OCEA</v>
      </c>
      <c r="C111" s="143" t="str">
        <f t="shared" si="3"/>
        <v>722,500 CLEVELAND</v>
      </c>
      <c r="G111" s="140">
        <v>107</v>
      </c>
      <c r="H111" s="140" t="s">
        <v>432</v>
      </c>
      <c r="I111" s="142">
        <v>524400</v>
      </c>
      <c r="J111" s="143"/>
    </row>
    <row r="112" spans="1:10" x14ac:dyDescent="0.2">
      <c r="A112" s="140" t="s">
        <v>164</v>
      </c>
      <c r="B112" s="143" t="str">
        <f t="shared" si="2"/>
        <v>PASS</v>
      </c>
      <c r="C112" s="143" t="str">
        <f t="shared" si="3"/>
        <v>722,500 CLEVELAND</v>
      </c>
      <c r="G112" s="140">
        <v>108</v>
      </c>
      <c r="H112" s="140" t="s">
        <v>433</v>
      </c>
      <c r="I112" s="142">
        <v>529000</v>
      </c>
      <c r="J112" s="143"/>
    </row>
    <row r="113" spans="1:10" x14ac:dyDescent="0.2">
      <c r="A113" s="140" t="s">
        <v>165</v>
      </c>
      <c r="B113" s="143" t="str">
        <f t="shared" si="2"/>
        <v>SOME</v>
      </c>
      <c r="C113" s="143" t="str">
        <f t="shared" si="3"/>
        <v>722,500 CLEVELAND</v>
      </c>
      <c r="G113" s="140">
        <v>109</v>
      </c>
      <c r="H113" s="140" t="s">
        <v>439</v>
      </c>
      <c r="I113" s="142">
        <v>532450</v>
      </c>
      <c r="J113" s="143"/>
    </row>
    <row r="114" spans="1:10" x14ac:dyDescent="0.2">
      <c r="A114" s="140" t="s">
        <v>166</v>
      </c>
      <c r="B114" s="143" t="str">
        <f t="shared" si="2"/>
        <v>SUSS</v>
      </c>
      <c r="C114" s="143" t="str">
        <f t="shared" si="3"/>
        <v>722,500 CLEVELAND</v>
      </c>
      <c r="G114" s="140">
        <v>110</v>
      </c>
      <c r="H114" s="140" t="s">
        <v>396</v>
      </c>
      <c r="I114" s="142">
        <v>625500</v>
      </c>
      <c r="J114" s="143"/>
    </row>
    <row r="115" spans="1:10" x14ac:dyDescent="0.2">
      <c r="A115" s="140" t="s">
        <v>167</v>
      </c>
      <c r="B115" s="143" t="str">
        <f t="shared" si="2"/>
        <v>UNIO</v>
      </c>
      <c r="C115" s="143" t="str">
        <f t="shared" si="3"/>
        <v>722,500 CLEVELAND</v>
      </c>
      <c r="G115" s="140">
        <v>111</v>
      </c>
      <c r="H115" s="140" t="s">
        <v>397</v>
      </c>
      <c r="I115" s="142">
        <v>458850</v>
      </c>
      <c r="J115" s="143"/>
    </row>
    <row r="116" spans="1:10" x14ac:dyDescent="0.2">
      <c r="A116" s="140" t="s">
        <v>168</v>
      </c>
      <c r="B116" s="143" t="str">
        <f t="shared" si="2"/>
        <v>BRON</v>
      </c>
      <c r="C116" s="143" t="str">
        <f t="shared" si="3"/>
        <v>722,500 CLEVELAND</v>
      </c>
      <c r="G116" s="140">
        <v>112</v>
      </c>
      <c r="H116" s="140" t="s">
        <v>398</v>
      </c>
      <c r="I116" s="142">
        <v>458850</v>
      </c>
      <c r="J116" s="143"/>
    </row>
    <row r="117" spans="1:10" x14ac:dyDescent="0.2">
      <c r="B117" s="143"/>
      <c r="C117" s="143"/>
      <c r="G117" s="140">
        <v>113</v>
      </c>
      <c r="H117" s="140" t="s">
        <v>399</v>
      </c>
      <c r="I117" s="142">
        <v>483000</v>
      </c>
      <c r="J117" s="143"/>
    </row>
    <row r="118" spans="1:10" x14ac:dyDescent="0.2">
      <c r="A118" s="140" t="s">
        <v>169</v>
      </c>
      <c r="B118" s="143" t="str">
        <f t="shared" si="2"/>
        <v>KING</v>
      </c>
      <c r="C118" s="143" t="str">
        <f t="shared" si="3"/>
        <v>722,500 CLEVELAND</v>
      </c>
      <c r="G118" s="140">
        <v>114</v>
      </c>
      <c r="H118" s="140" t="s">
        <v>400</v>
      </c>
      <c r="I118" s="142">
        <v>625500</v>
      </c>
      <c r="J118" s="143"/>
    </row>
    <row r="119" spans="1:10" x14ac:dyDescent="0.2">
      <c r="A119" s="140" t="s">
        <v>170</v>
      </c>
      <c r="B119" s="143" t="str">
        <f t="shared" si="2"/>
        <v>NASS</v>
      </c>
      <c r="C119" s="143" t="str">
        <f t="shared" si="3"/>
        <v>722,500 CLEVELAND</v>
      </c>
      <c r="G119" s="140">
        <v>115</v>
      </c>
      <c r="H119" s="140" t="s">
        <v>401</v>
      </c>
      <c r="I119" s="142">
        <v>625500</v>
      </c>
      <c r="J119" s="143"/>
    </row>
    <row r="120" spans="1:10" x14ac:dyDescent="0.2">
      <c r="A120" s="140" t="s">
        <v>171</v>
      </c>
      <c r="B120" s="143" t="str">
        <f t="shared" si="2"/>
        <v>NEW YORK</v>
      </c>
      <c r="C120" s="143" t="str">
        <f t="shared" si="3"/>
        <v>722,500 CLEVELAND</v>
      </c>
      <c r="G120" s="140">
        <v>116</v>
      </c>
      <c r="H120" s="140" t="s">
        <v>269</v>
      </c>
      <c r="I120" s="142">
        <v>603750</v>
      </c>
      <c r="J120" s="143"/>
    </row>
    <row r="121" spans="1:10" x14ac:dyDescent="0.2">
      <c r="B121" s="143"/>
      <c r="C121" s="143"/>
      <c r="G121" s="140">
        <v>117</v>
      </c>
      <c r="H121" s="140" t="s">
        <v>270</v>
      </c>
      <c r="I121" s="142">
        <v>603750</v>
      </c>
      <c r="J121" s="143"/>
    </row>
    <row r="122" spans="1:10" x14ac:dyDescent="0.2">
      <c r="A122" s="140" t="s">
        <v>172</v>
      </c>
      <c r="B122" s="143" t="str">
        <f t="shared" si="2"/>
        <v>PUTN</v>
      </c>
      <c r="C122" s="143" t="str">
        <f t="shared" si="3"/>
        <v>722,500 CLEVELAND</v>
      </c>
      <c r="G122" s="140">
        <v>118</v>
      </c>
      <c r="H122" s="140" t="s">
        <v>271</v>
      </c>
      <c r="I122" s="142">
        <v>679650</v>
      </c>
      <c r="J122" s="143"/>
    </row>
    <row r="123" spans="1:10" x14ac:dyDescent="0.2">
      <c r="A123" s="140" t="s">
        <v>173</v>
      </c>
      <c r="B123" s="143" t="str">
        <f t="shared" si="2"/>
        <v>QUEE</v>
      </c>
      <c r="C123" s="143" t="str">
        <f t="shared" si="3"/>
        <v>722,500 CLEVELAND</v>
      </c>
      <c r="G123" s="140">
        <v>119</v>
      </c>
      <c r="H123" s="140" t="s">
        <v>272</v>
      </c>
      <c r="I123" s="142">
        <v>679650</v>
      </c>
      <c r="J123" s="143"/>
    </row>
    <row r="124" spans="1:10" x14ac:dyDescent="0.2">
      <c r="A124" s="140" t="s">
        <v>174</v>
      </c>
      <c r="B124" s="143" t="str">
        <f t="shared" si="2"/>
        <v>RICH</v>
      </c>
      <c r="C124" s="143" t="str">
        <f t="shared" si="3"/>
        <v>722,500 CLEVELAND</v>
      </c>
      <c r="G124" s="140">
        <v>120</v>
      </c>
      <c r="H124" s="140" t="s">
        <v>273</v>
      </c>
      <c r="I124" s="142">
        <v>679650</v>
      </c>
      <c r="J124" s="143"/>
    </row>
    <row r="125" spans="1:10" x14ac:dyDescent="0.2">
      <c r="A125" s="140" t="s">
        <v>175</v>
      </c>
      <c r="B125" s="143" t="str">
        <f t="shared" si="2"/>
        <v>ROCK</v>
      </c>
      <c r="C125" s="143" t="str">
        <f t="shared" si="3"/>
        <v>722,500 CLEVELAND</v>
      </c>
      <c r="G125" s="140">
        <v>121</v>
      </c>
      <c r="H125" s="140" t="s">
        <v>274</v>
      </c>
      <c r="I125" s="142">
        <v>679650</v>
      </c>
      <c r="J125" s="143"/>
    </row>
    <row r="126" spans="1:10" x14ac:dyDescent="0.2">
      <c r="A126" s="140" t="s">
        <v>176</v>
      </c>
      <c r="B126" s="143" t="str">
        <f t="shared" si="2"/>
        <v>SUFF</v>
      </c>
      <c r="C126" s="143" t="str">
        <f t="shared" si="3"/>
        <v>722,500 CLEVELAND</v>
      </c>
      <c r="G126" s="140">
        <v>122</v>
      </c>
      <c r="H126" s="140" t="s">
        <v>275</v>
      </c>
      <c r="I126" s="142">
        <v>679650</v>
      </c>
      <c r="J126" s="143"/>
    </row>
    <row r="127" spans="1:10" x14ac:dyDescent="0.2">
      <c r="A127" s="140" t="s">
        <v>177</v>
      </c>
      <c r="B127" s="143" t="str">
        <f t="shared" si="2"/>
        <v>WEST</v>
      </c>
      <c r="C127" s="143" t="str">
        <f t="shared" si="3"/>
        <v>722,500 CLEVELAND</v>
      </c>
      <c r="G127" s="140">
        <v>123</v>
      </c>
      <c r="H127" s="140" t="s">
        <v>276</v>
      </c>
      <c r="I127" s="142">
        <v>679650</v>
      </c>
      <c r="J127" s="143"/>
    </row>
    <row r="128" spans="1:10" x14ac:dyDescent="0.2">
      <c r="A128" s="140" t="s">
        <v>178</v>
      </c>
      <c r="B128" s="143" t="str">
        <f t="shared" si="2"/>
        <v>PIKE</v>
      </c>
      <c r="C128" s="143" t="str">
        <f t="shared" si="3"/>
        <v>722,500 CLEVELAND</v>
      </c>
      <c r="G128" s="140">
        <v>124</v>
      </c>
      <c r="H128" s="140" t="s">
        <v>277</v>
      </c>
      <c r="I128" s="142">
        <v>679650</v>
      </c>
      <c r="J128" s="143"/>
    </row>
    <row r="129" spans="2:10" x14ac:dyDescent="0.2">
      <c r="B129" s="143"/>
      <c r="C129" s="143"/>
      <c r="G129" s="140">
        <v>125</v>
      </c>
      <c r="H129" s="140" t="s">
        <v>278</v>
      </c>
      <c r="I129" s="142">
        <v>679650</v>
      </c>
      <c r="J129" s="143"/>
    </row>
    <row r="130" spans="2:10" x14ac:dyDescent="0.2">
      <c r="B130" s="143"/>
      <c r="C130" s="143"/>
      <c r="G130" s="140">
        <v>126</v>
      </c>
      <c r="H130" s="140" t="s">
        <v>279</v>
      </c>
      <c r="I130" s="142">
        <v>679650</v>
      </c>
      <c r="J130" s="143"/>
    </row>
    <row r="131" spans="2:10" x14ac:dyDescent="0.2">
      <c r="B131" s="143"/>
      <c r="C131" s="143"/>
      <c r="G131" s="140">
        <v>127</v>
      </c>
      <c r="H131" s="140" t="s">
        <v>280</v>
      </c>
      <c r="I131" s="142">
        <v>679650</v>
      </c>
      <c r="J131" s="143"/>
    </row>
    <row r="132" spans="2:10" x14ac:dyDescent="0.2">
      <c r="B132" s="143"/>
      <c r="C132" s="143"/>
      <c r="G132" s="140">
        <v>128</v>
      </c>
      <c r="H132" s="140" t="s">
        <v>281</v>
      </c>
      <c r="I132" s="142">
        <v>679650</v>
      </c>
      <c r="J132" s="143"/>
    </row>
    <row r="133" spans="2:10" x14ac:dyDescent="0.2">
      <c r="B133" s="143"/>
      <c r="C133" s="143"/>
      <c r="G133" s="140">
        <v>129</v>
      </c>
      <c r="H133" s="140" t="s">
        <v>282</v>
      </c>
      <c r="I133" s="142">
        <v>679650</v>
      </c>
      <c r="J133" s="143"/>
    </row>
    <row r="134" spans="2:10" x14ac:dyDescent="0.2">
      <c r="B134" s="143"/>
      <c r="C134" s="143"/>
      <c r="G134" s="140">
        <v>130</v>
      </c>
      <c r="H134" s="140" t="s">
        <v>283</v>
      </c>
      <c r="I134" s="142">
        <v>679650</v>
      </c>
      <c r="J134" s="143"/>
    </row>
    <row r="135" spans="2:10" x14ac:dyDescent="0.2">
      <c r="B135" s="143"/>
      <c r="C135" s="143"/>
      <c r="G135" s="140">
        <v>131</v>
      </c>
      <c r="H135" s="140" t="s">
        <v>359</v>
      </c>
      <c r="I135" s="142">
        <v>679650</v>
      </c>
      <c r="J135" s="143"/>
    </row>
    <row r="136" spans="2:10" x14ac:dyDescent="0.2">
      <c r="B136" s="143"/>
      <c r="C136" s="143"/>
      <c r="G136" s="140">
        <v>132</v>
      </c>
      <c r="H136" s="140" t="s">
        <v>284</v>
      </c>
      <c r="I136" s="142">
        <v>679650</v>
      </c>
      <c r="J136" s="143"/>
    </row>
    <row r="137" spans="2:10" x14ac:dyDescent="0.2">
      <c r="B137" s="143"/>
      <c r="C137" s="143"/>
      <c r="G137" s="140">
        <v>133</v>
      </c>
      <c r="H137" s="140" t="s">
        <v>285</v>
      </c>
      <c r="I137" s="142">
        <v>679650</v>
      </c>
      <c r="J137" s="143"/>
    </row>
    <row r="138" spans="2:10" x14ac:dyDescent="0.2">
      <c r="B138" s="143"/>
      <c r="C138" s="143"/>
      <c r="G138" s="140">
        <v>134</v>
      </c>
      <c r="H138" s="140" t="s">
        <v>214</v>
      </c>
      <c r="I138" s="142">
        <v>679650</v>
      </c>
      <c r="J138" s="143"/>
    </row>
    <row r="139" spans="2:10" x14ac:dyDescent="0.2">
      <c r="B139" s="143"/>
      <c r="C139" s="143"/>
      <c r="G139" s="140">
        <v>135</v>
      </c>
      <c r="H139" s="140" t="s">
        <v>360</v>
      </c>
      <c r="I139" s="142">
        <v>679650</v>
      </c>
      <c r="J139" s="143"/>
    </row>
    <row r="140" spans="2:10" x14ac:dyDescent="0.2">
      <c r="B140" s="143"/>
      <c r="C140" s="143"/>
      <c r="G140" s="140">
        <v>136</v>
      </c>
      <c r="H140" s="140" t="s">
        <v>286</v>
      </c>
      <c r="I140" s="142">
        <v>679650</v>
      </c>
      <c r="J140" s="143"/>
    </row>
    <row r="141" spans="2:10" x14ac:dyDescent="0.2">
      <c r="B141" s="143"/>
      <c r="C141" s="143"/>
      <c r="G141" s="140">
        <v>137</v>
      </c>
      <c r="H141" s="140" t="s">
        <v>287</v>
      </c>
      <c r="I141" s="142">
        <v>679650</v>
      </c>
      <c r="J141" s="143"/>
    </row>
    <row r="142" spans="2:10" x14ac:dyDescent="0.2">
      <c r="B142" s="143"/>
      <c r="C142" s="143"/>
      <c r="G142" s="140">
        <v>138</v>
      </c>
      <c r="H142" s="140" t="s">
        <v>288</v>
      </c>
      <c r="I142" s="142">
        <v>679650</v>
      </c>
      <c r="J142" s="143"/>
    </row>
    <row r="143" spans="2:10" x14ac:dyDescent="0.2">
      <c r="B143" s="143"/>
      <c r="C143" s="143"/>
      <c r="G143" s="140">
        <v>139</v>
      </c>
      <c r="H143" s="140" t="s">
        <v>289</v>
      </c>
      <c r="I143" s="142">
        <v>679650</v>
      </c>
      <c r="J143" s="143"/>
    </row>
    <row r="144" spans="2:10" x14ac:dyDescent="0.2">
      <c r="B144" s="143"/>
      <c r="C144" s="143"/>
      <c r="G144" s="140">
        <v>140</v>
      </c>
      <c r="H144" s="140" t="s">
        <v>290</v>
      </c>
      <c r="I144" s="142">
        <v>679650</v>
      </c>
      <c r="J144" s="143"/>
    </row>
    <row r="145" spans="1:10" x14ac:dyDescent="0.2">
      <c r="B145" s="143"/>
      <c r="C145" s="143"/>
      <c r="G145" s="140">
        <v>141</v>
      </c>
      <c r="H145" s="140" t="s">
        <v>291</v>
      </c>
      <c r="I145" s="142">
        <v>679650</v>
      </c>
      <c r="J145" s="143"/>
    </row>
    <row r="146" spans="1:10" x14ac:dyDescent="0.2">
      <c r="B146" s="143"/>
      <c r="C146" s="143"/>
      <c r="G146" s="140">
        <v>142</v>
      </c>
      <c r="H146" s="140" t="s">
        <v>510</v>
      </c>
      <c r="I146" s="142">
        <v>454250</v>
      </c>
      <c r="J146" s="143"/>
    </row>
    <row r="147" spans="1:10" x14ac:dyDescent="0.2">
      <c r="B147" s="143"/>
      <c r="C147" s="143"/>
      <c r="G147" s="140">
        <v>143</v>
      </c>
      <c r="H147" s="140" t="s">
        <v>215</v>
      </c>
      <c r="I147" s="142">
        <v>679650</v>
      </c>
      <c r="J147" s="143"/>
    </row>
    <row r="148" spans="1:10" x14ac:dyDescent="0.2">
      <c r="A148" s="140" t="s">
        <v>179</v>
      </c>
      <c r="B148" s="143" t="str">
        <f t="shared" si="2"/>
        <v>SUMM</v>
      </c>
      <c r="C148" s="143" t="str">
        <f t="shared" si="3"/>
        <v>650,000 DENVER</v>
      </c>
      <c r="G148" s="140">
        <v>144</v>
      </c>
      <c r="H148" s="140" t="s">
        <v>361</v>
      </c>
      <c r="I148" s="142">
        <v>494500</v>
      </c>
      <c r="J148" s="143"/>
    </row>
    <row r="149" spans="1:10" x14ac:dyDescent="0.2">
      <c r="A149" s="140" t="s">
        <v>180</v>
      </c>
      <c r="B149" s="143" t="str">
        <f t="shared" si="2"/>
        <v>ALEX</v>
      </c>
      <c r="C149" s="143" t="str">
        <f t="shared" si="3"/>
        <v>843,750 ROANOKE</v>
      </c>
      <c r="G149" s="140">
        <v>145</v>
      </c>
      <c r="H149" s="140" t="s">
        <v>362</v>
      </c>
      <c r="I149" s="142">
        <v>494500</v>
      </c>
      <c r="J149" s="143"/>
    </row>
    <row r="150" spans="1:10" x14ac:dyDescent="0.2">
      <c r="A150" s="140" t="s">
        <v>181</v>
      </c>
      <c r="B150" s="143" t="str">
        <f t="shared" si="2"/>
        <v>ARLI</v>
      </c>
      <c r="C150" s="143" t="str">
        <f t="shared" si="3"/>
        <v>843,750 ROANOKE</v>
      </c>
      <c r="G150" s="140">
        <v>146</v>
      </c>
      <c r="H150" s="140" t="s">
        <v>363</v>
      </c>
      <c r="I150" s="142">
        <v>494500</v>
      </c>
      <c r="J150" s="143"/>
    </row>
    <row r="151" spans="1:10" x14ac:dyDescent="0.2">
      <c r="A151" s="140" t="s">
        <v>182</v>
      </c>
      <c r="B151" s="143" t="str">
        <f t="shared" si="2"/>
        <v>CLAR</v>
      </c>
      <c r="C151" s="143" t="str">
        <f t="shared" si="3"/>
        <v>843,750 ROANOKE</v>
      </c>
      <c r="G151" s="140">
        <v>147</v>
      </c>
      <c r="H151" s="140" t="s">
        <v>364</v>
      </c>
      <c r="I151" s="142">
        <v>494500</v>
      </c>
      <c r="J151" s="143"/>
    </row>
    <row r="152" spans="1:10" x14ac:dyDescent="0.2">
      <c r="B152" s="143"/>
      <c r="C152" s="143"/>
      <c r="G152" s="140">
        <v>148</v>
      </c>
      <c r="H152" s="140" t="s">
        <v>365</v>
      </c>
      <c r="I152" s="142">
        <v>494500</v>
      </c>
      <c r="J152" s="143"/>
    </row>
    <row r="153" spans="1:10" x14ac:dyDescent="0.2">
      <c r="A153" s="140" t="s">
        <v>183</v>
      </c>
      <c r="B153" s="143" t="str">
        <f t="shared" si="2"/>
        <v>FAIR</v>
      </c>
      <c r="C153" s="143" t="str">
        <f t="shared" si="3"/>
        <v>843,750 ROANOKE</v>
      </c>
      <c r="G153" s="140">
        <v>149</v>
      </c>
      <c r="H153" s="140" t="s">
        <v>366</v>
      </c>
      <c r="I153" s="142">
        <v>494500</v>
      </c>
      <c r="J153" s="143"/>
    </row>
    <row r="154" spans="1:10" x14ac:dyDescent="0.2">
      <c r="A154" s="140" t="s">
        <v>184</v>
      </c>
      <c r="B154" s="143" t="str">
        <f t="shared" si="2"/>
        <v xml:space="preserve">FAIRFAX IND </v>
      </c>
      <c r="C154" s="143" t="str">
        <f t="shared" si="3"/>
        <v>843,750 ROANOKE</v>
      </c>
      <c r="G154" s="140">
        <v>150</v>
      </c>
      <c r="H154" s="140" t="s">
        <v>367</v>
      </c>
      <c r="I154" s="142">
        <v>494500</v>
      </c>
      <c r="J154" s="143"/>
    </row>
    <row r="155" spans="1:10" x14ac:dyDescent="0.2">
      <c r="A155" s="140" t="s">
        <v>185</v>
      </c>
      <c r="B155" s="143" t="str">
        <f t="shared" si="2"/>
        <v>FALLS CHUR</v>
      </c>
      <c r="C155" s="143" t="str">
        <f t="shared" si="3"/>
        <v>843,750 ROANOKE</v>
      </c>
      <c r="G155" s="140">
        <v>151</v>
      </c>
      <c r="H155" s="140" t="s">
        <v>368</v>
      </c>
      <c r="I155" s="142">
        <v>494500</v>
      </c>
      <c r="J155" s="143"/>
    </row>
    <row r="156" spans="1:10" x14ac:dyDescent="0.2">
      <c r="A156" s="140" t="s">
        <v>186</v>
      </c>
      <c r="B156" s="143" t="str">
        <f t="shared" si="2"/>
        <v>FAUQ</v>
      </c>
      <c r="C156" s="143" t="str">
        <f t="shared" si="3"/>
        <v>843,750 ROANOKE</v>
      </c>
      <c r="G156" s="140">
        <v>152</v>
      </c>
      <c r="H156" s="140" t="s">
        <v>369</v>
      </c>
      <c r="I156" s="142">
        <v>494500</v>
      </c>
      <c r="J156" s="143"/>
    </row>
    <row r="157" spans="1:10" x14ac:dyDescent="0.2">
      <c r="A157" s="140" t="s">
        <v>187</v>
      </c>
      <c r="B157" s="143" t="str">
        <f t="shared" si="2"/>
        <v>FRED</v>
      </c>
      <c r="C157" s="143" t="str">
        <f t="shared" si="3"/>
        <v>843,750 ROANOKE</v>
      </c>
      <c r="G157" s="140">
        <v>153</v>
      </c>
      <c r="H157" s="140" t="s">
        <v>370</v>
      </c>
      <c r="I157" s="142">
        <v>494500</v>
      </c>
      <c r="J157" s="143"/>
    </row>
    <row r="158" spans="1:10" x14ac:dyDescent="0.2">
      <c r="B158" s="143"/>
      <c r="C158" s="143"/>
      <c r="G158" s="140">
        <v>154</v>
      </c>
      <c r="H158" s="140" t="s">
        <v>371</v>
      </c>
      <c r="I158" s="142">
        <v>494500</v>
      </c>
      <c r="J158" s="143"/>
    </row>
    <row r="159" spans="1:10" x14ac:dyDescent="0.2">
      <c r="A159" s="140" t="s">
        <v>188</v>
      </c>
      <c r="B159" s="143" t="str">
        <f t="shared" si="2"/>
        <v>LOUD</v>
      </c>
      <c r="C159" s="143" t="str">
        <f t="shared" si="3"/>
        <v>843,750 ROANOKE</v>
      </c>
      <c r="G159" s="140">
        <v>155</v>
      </c>
      <c r="H159" s="140" t="s">
        <v>372</v>
      </c>
      <c r="I159" s="142">
        <v>494500</v>
      </c>
      <c r="J159" s="143"/>
    </row>
    <row r="160" spans="1:10" x14ac:dyDescent="0.2">
      <c r="A160" s="140" t="s">
        <v>189</v>
      </c>
      <c r="B160" s="143" t="str">
        <f t="shared" si="2"/>
        <v>MANA</v>
      </c>
      <c r="C160" s="143" t="str">
        <f t="shared" si="3"/>
        <v>843,750 ROANOKE</v>
      </c>
      <c r="G160" s="140">
        <v>156</v>
      </c>
      <c r="H160" s="140" t="s">
        <v>373</v>
      </c>
      <c r="I160" s="142">
        <v>494500</v>
      </c>
      <c r="J160" s="143"/>
    </row>
    <row r="161" spans="1:10" x14ac:dyDescent="0.2">
      <c r="A161" s="140" t="s">
        <v>190</v>
      </c>
      <c r="B161" s="143" t="str">
        <f t="shared" si="2"/>
        <v>MANASSAS PARK</v>
      </c>
      <c r="C161" s="143" t="str">
        <f t="shared" si="3"/>
        <v>843,750 ROANOKE</v>
      </c>
      <c r="G161" s="140">
        <v>157</v>
      </c>
      <c r="H161" s="140" t="s">
        <v>374</v>
      </c>
      <c r="I161" s="142">
        <v>494500</v>
      </c>
      <c r="J161" s="143"/>
    </row>
    <row r="162" spans="1:10" x14ac:dyDescent="0.2">
      <c r="A162" s="140" t="s">
        <v>191</v>
      </c>
      <c r="B162" s="143" t="str">
        <f t="shared" si="2"/>
        <v>PRINCE WILL</v>
      </c>
      <c r="C162" s="143" t="str">
        <f t="shared" si="3"/>
        <v>843,750 ROANOKE</v>
      </c>
      <c r="G162" s="140">
        <v>158</v>
      </c>
      <c r="H162" s="140" t="s">
        <v>402</v>
      </c>
      <c r="I162" s="142">
        <v>600300</v>
      </c>
      <c r="J162" s="143"/>
    </row>
    <row r="163" spans="1:10" x14ac:dyDescent="0.2">
      <c r="B163" s="143"/>
      <c r="C163" s="143"/>
      <c r="G163" s="140">
        <v>159</v>
      </c>
      <c r="H163" s="140" t="s">
        <v>292</v>
      </c>
      <c r="I163" s="142">
        <v>679650</v>
      </c>
      <c r="J163" s="143"/>
    </row>
    <row r="164" spans="1:10" x14ac:dyDescent="0.2">
      <c r="A164" s="140" t="s">
        <v>192</v>
      </c>
      <c r="B164" s="143" t="str">
        <f t="shared" si="2"/>
        <v>SPOT</v>
      </c>
      <c r="C164" s="143" t="str">
        <f t="shared" si="3"/>
        <v>843,750 ROANOKE</v>
      </c>
      <c r="G164" s="140">
        <v>160</v>
      </c>
      <c r="H164" s="140" t="s">
        <v>403</v>
      </c>
      <c r="I164" s="142">
        <v>600300</v>
      </c>
      <c r="J164" s="143"/>
    </row>
    <row r="165" spans="1:10" x14ac:dyDescent="0.2">
      <c r="A165" s="140" t="s">
        <v>193</v>
      </c>
      <c r="B165" s="143" t="str">
        <f t="shared" si="2"/>
        <v>STAF</v>
      </c>
      <c r="C165" s="143" t="str">
        <f t="shared" si="3"/>
        <v>843,750 ROANOKE</v>
      </c>
      <c r="G165" s="140">
        <v>161</v>
      </c>
      <c r="H165" s="140" t="s">
        <v>458</v>
      </c>
      <c r="I165" s="142">
        <v>679650</v>
      </c>
      <c r="J165" s="143"/>
    </row>
    <row r="166" spans="1:10" x14ac:dyDescent="0.2">
      <c r="A166" s="140" t="s">
        <v>194</v>
      </c>
      <c r="B166" s="143" t="str">
        <f t="shared" si="2"/>
        <v>WARR</v>
      </c>
      <c r="C166" s="143" t="str">
        <f t="shared" si="3"/>
        <v>843,750 ROANOKE</v>
      </c>
      <c r="G166" s="140">
        <v>162</v>
      </c>
      <c r="H166" s="140" t="s">
        <v>404</v>
      </c>
      <c r="I166" s="142">
        <v>535900</v>
      </c>
      <c r="J166" s="143"/>
    </row>
    <row r="167" spans="1:10" x14ac:dyDescent="0.2">
      <c r="A167" s="140" t="s">
        <v>195</v>
      </c>
      <c r="B167" s="143" t="str">
        <f t="shared" si="2"/>
        <v>ST. CROIX 625,</v>
      </c>
      <c r="C167" s="143" t="str">
        <f t="shared" si="3"/>
        <v>ST. PETERSBURG</v>
      </c>
      <c r="G167" s="140">
        <v>163</v>
      </c>
      <c r="H167" s="140" t="s">
        <v>293</v>
      </c>
      <c r="I167" s="142">
        <v>679650</v>
      </c>
      <c r="J167" s="143"/>
    </row>
    <row r="168" spans="1:10" x14ac:dyDescent="0.2">
      <c r="A168" s="140" t="s">
        <v>196</v>
      </c>
      <c r="B168" s="143" t="str">
        <f t="shared" si="2"/>
        <v>ST. JOHN,VI 630,</v>
      </c>
      <c r="C168" s="143" t="str">
        <f t="shared" si="3"/>
        <v>ST. PETERSBURG</v>
      </c>
      <c r="G168" s="140">
        <v>164</v>
      </c>
      <c r="H168" s="140" t="s">
        <v>405</v>
      </c>
      <c r="I168" s="142">
        <v>535900</v>
      </c>
      <c r="J168" s="143"/>
    </row>
    <row r="169" spans="1:10" x14ac:dyDescent="0.2">
      <c r="A169" s="140" t="s">
        <v>197</v>
      </c>
      <c r="B169" s="143" t="str">
        <f t="shared" si="2"/>
        <v>ST. THOMAS 625,</v>
      </c>
      <c r="C169" s="143" t="str">
        <f t="shared" si="3"/>
        <v>ST. PETERSBURG</v>
      </c>
      <c r="G169" s="140">
        <v>165</v>
      </c>
      <c r="H169" s="140" t="s">
        <v>406</v>
      </c>
      <c r="I169" s="142">
        <v>535900</v>
      </c>
      <c r="J169" s="143"/>
    </row>
    <row r="170" spans="1:10" x14ac:dyDescent="0.2">
      <c r="A170" s="140" t="s">
        <v>198</v>
      </c>
      <c r="B170" s="143" t="str">
        <f t="shared" si="2"/>
        <v>KING</v>
      </c>
      <c r="C170" s="143" t="str">
        <f t="shared" si="3"/>
        <v>500,000 DENVER</v>
      </c>
      <c r="G170" s="140">
        <v>166</v>
      </c>
      <c r="H170" s="140" t="s">
        <v>459</v>
      </c>
      <c r="I170" s="142">
        <v>458850</v>
      </c>
      <c r="J170" s="143"/>
    </row>
    <row r="171" spans="1:10" x14ac:dyDescent="0.2">
      <c r="A171" s="140" t="s">
        <v>199</v>
      </c>
      <c r="B171" s="143" t="str">
        <f>MID($A171,FIND(CHAR(22),SUBSTITUTE($A171," ",CHAR(22),1))+1,FIND(CHAR(22),SUBSTITUTE($A171," ",CHAR(22),LEN($A171)-LEN(SUBSTITUTE($A171," ",""))-2))+1)</f>
        <v>PIER</v>
      </c>
      <c r="C171" s="143" t="str">
        <f t="shared" si="3"/>
        <v>500,000 DENVER</v>
      </c>
      <c r="G171" s="140">
        <v>167</v>
      </c>
      <c r="H171" s="140" t="s">
        <v>434</v>
      </c>
      <c r="I171" s="142">
        <v>535900</v>
      </c>
      <c r="J171" s="143"/>
    </row>
    <row r="172" spans="1:10" x14ac:dyDescent="0.2">
      <c r="A172" s="140" t="s">
        <v>200</v>
      </c>
      <c r="B172" s="143" t="str">
        <f>MID($A172,FIND(CHAR(22),SUBSTITUTE($A172," ",CHAR(22),1))+1,FIND(CHAR(22),SUBSTITUTE($A172," ",CHAR(22),LEN($A172)-LEN(SUBSTITUTE($A172," ",""))-2))+1)</f>
        <v>SAN JUAN</v>
      </c>
      <c r="C172" s="143" t="str">
        <f>MID($A172,FIND(CHAR(22),SUBSTITUTE($A172," ",CHAR(22),LEN($A172)-LEN(SUBSTITUTE($A172," ",""))-1))+1,255)</f>
        <v>468,750 DENVER</v>
      </c>
      <c r="G172" s="140">
        <v>168</v>
      </c>
      <c r="H172" s="140" t="s">
        <v>294</v>
      </c>
      <c r="I172" s="142">
        <v>679650</v>
      </c>
      <c r="J172" s="143"/>
    </row>
    <row r="173" spans="1:10" x14ac:dyDescent="0.2">
      <c r="A173" s="140" t="s">
        <v>201</v>
      </c>
      <c r="B173" s="143" t="str">
        <f>MID($A173,FIND(CHAR(22),SUBSTITUTE($A173," ",CHAR(22),1))+1,FIND(CHAR(22),SUBSTITUTE($A173," ",CHAR(22),LEN($A173)-LEN(SUBSTITUTE($A173," ",""))-2))+1)</f>
        <v>SNOH</v>
      </c>
      <c r="C173" s="143" t="str">
        <f>MID($A173,FIND(CHAR(22),SUBSTITUTE($A173," ",CHAR(22),LEN($A173)-LEN(SUBSTITUTE($A173," ",""))-1))+1,255)</f>
        <v>500,000 DENVER</v>
      </c>
      <c r="G173" s="140">
        <v>169</v>
      </c>
      <c r="H173" s="140" t="s">
        <v>407</v>
      </c>
      <c r="I173" s="142">
        <v>535900</v>
      </c>
      <c r="J173" s="143"/>
    </row>
    <row r="174" spans="1:10" x14ac:dyDescent="0.2">
      <c r="A174" s="140" t="s">
        <v>202</v>
      </c>
      <c r="B174" s="143" t="str">
        <f>MID($A174,FIND(CHAR(22),SUBSTITUTE($A174," ",CHAR(22),1))+1,FIND(CHAR(22),SUBSTITUTE($A174," ",CHAR(22),LEN($A174)-LEN(SUBSTITUTE($A174," ",""))-2))+1)</f>
        <v>JEFF</v>
      </c>
      <c r="C174" s="143" t="str">
        <f>MID($A174,FIND(CHAR(22),SUBSTITUTE($A174," ",CHAR(22),LEN($A174)-LEN(SUBSTITUTE($A174," ",""))-1))+1,255)</f>
        <v>843,750 ROANOKE</v>
      </c>
      <c r="G174" s="140">
        <v>170</v>
      </c>
      <c r="H174" s="140" t="s">
        <v>375</v>
      </c>
      <c r="I174" s="142">
        <v>679650</v>
      </c>
      <c r="J174" s="143"/>
    </row>
    <row r="175" spans="1:10" x14ac:dyDescent="0.2">
      <c r="A175" s="140" t="s">
        <v>203</v>
      </c>
      <c r="B175" s="143" t="str">
        <f>MID($A175,FIND(CHAR(22),SUBSTITUTE($A175," ",CHAR(22),1))+1,FIND(CHAR(22),SUBSTITUTE($A175," ",CHAR(22),LEN($A175)-LEN(SUBSTITUTE($A175," ",""))-2))+1)</f>
        <v>TETO</v>
      </c>
      <c r="C175" s="143" t="str">
        <f>MID($A175,FIND(CHAR(22),SUBSTITUTE($A175," ",CHAR(22),LEN($A175)-LEN(SUBSTITUTE($A175," ",""))-1))+1,255)</f>
        <v>635,000 DENVER</v>
      </c>
      <c r="G175" s="140">
        <v>171</v>
      </c>
      <c r="H175" s="140" t="s">
        <v>408</v>
      </c>
      <c r="I175" s="142">
        <v>535900</v>
      </c>
      <c r="J175" s="143"/>
    </row>
    <row r="176" spans="1:10" x14ac:dyDescent="0.2">
      <c r="G176" s="140">
        <v>172</v>
      </c>
      <c r="H176" s="140" t="s">
        <v>409</v>
      </c>
      <c r="I176" s="142">
        <v>535900</v>
      </c>
      <c r="J176" s="143"/>
    </row>
    <row r="177" spans="7:10" x14ac:dyDescent="0.2">
      <c r="G177" s="140">
        <v>173</v>
      </c>
      <c r="H177" s="140" t="s">
        <v>457</v>
      </c>
      <c r="I177" s="142">
        <v>679650</v>
      </c>
      <c r="J177" s="143"/>
    </row>
    <row r="178" spans="7:10" x14ac:dyDescent="0.2">
      <c r="G178" s="140">
        <v>174</v>
      </c>
      <c r="H178" s="140" t="s">
        <v>460</v>
      </c>
      <c r="I178" s="142">
        <v>679650</v>
      </c>
      <c r="J178" s="143"/>
    </row>
    <row r="179" spans="7:10" x14ac:dyDescent="0.2">
      <c r="G179" s="140">
        <v>175</v>
      </c>
      <c r="H179" s="140" t="s">
        <v>461</v>
      </c>
      <c r="I179" s="142">
        <v>679650</v>
      </c>
      <c r="J179" s="143"/>
    </row>
    <row r="180" spans="7:10" x14ac:dyDescent="0.2">
      <c r="G180" s="140">
        <v>176</v>
      </c>
      <c r="H180" s="140" t="s">
        <v>295</v>
      </c>
      <c r="I180" s="142">
        <v>679650</v>
      </c>
      <c r="J180" s="143"/>
    </row>
    <row r="181" spans="7:10" x14ac:dyDescent="0.2">
      <c r="G181" s="140">
        <v>177</v>
      </c>
      <c r="H181" s="140" t="s">
        <v>296</v>
      </c>
      <c r="I181" s="142">
        <v>679650</v>
      </c>
      <c r="J181" s="143"/>
    </row>
    <row r="182" spans="7:10" x14ac:dyDescent="0.2">
      <c r="G182" s="140">
        <v>178</v>
      </c>
      <c r="H182" s="140" t="s">
        <v>410</v>
      </c>
      <c r="I182" s="142">
        <v>458850</v>
      </c>
      <c r="J182" s="143"/>
    </row>
    <row r="183" spans="7:10" x14ac:dyDescent="0.2">
      <c r="G183" s="140">
        <v>179</v>
      </c>
      <c r="H183" s="140" t="s">
        <v>411</v>
      </c>
      <c r="I183" s="142">
        <v>535900</v>
      </c>
      <c r="J183" s="143"/>
    </row>
    <row r="184" spans="7:10" x14ac:dyDescent="0.2">
      <c r="G184" s="140">
        <v>180</v>
      </c>
      <c r="H184" s="140" t="s">
        <v>435</v>
      </c>
      <c r="I184" s="142">
        <v>458850</v>
      </c>
      <c r="J184" s="143"/>
    </row>
    <row r="185" spans="7:10" x14ac:dyDescent="0.2">
      <c r="G185" s="140">
        <v>181</v>
      </c>
      <c r="H185" s="140" t="s">
        <v>412</v>
      </c>
      <c r="I185" s="142">
        <v>535900</v>
      </c>
      <c r="J185" s="143"/>
    </row>
    <row r="186" spans="7:10" x14ac:dyDescent="0.2">
      <c r="G186" s="140">
        <v>182</v>
      </c>
      <c r="H186" s="140" t="s">
        <v>413</v>
      </c>
      <c r="I186" s="142">
        <v>535900</v>
      </c>
      <c r="J186" s="143"/>
    </row>
    <row r="187" spans="7:10" x14ac:dyDescent="0.2">
      <c r="G187" s="140">
        <v>183</v>
      </c>
      <c r="H187" s="140" t="s">
        <v>436</v>
      </c>
      <c r="I187" s="142">
        <v>535900</v>
      </c>
      <c r="J187" s="143"/>
    </row>
    <row r="188" spans="7:10" x14ac:dyDescent="0.2">
      <c r="G188" s="140">
        <v>184</v>
      </c>
      <c r="H188" s="140" t="s">
        <v>414</v>
      </c>
      <c r="I188" s="142">
        <v>458850</v>
      </c>
      <c r="J188" s="143"/>
    </row>
    <row r="189" spans="7:10" x14ac:dyDescent="0.2">
      <c r="G189" s="140">
        <v>185</v>
      </c>
      <c r="H189" s="140" t="s">
        <v>415</v>
      </c>
      <c r="I189" s="142">
        <v>458850</v>
      </c>
      <c r="J189" s="143"/>
    </row>
    <row r="190" spans="7:10" x14ac:dyDescent="0.2">
      <c r="G190" s="140">
        <v>186</v>
      </c>
      <c r="H190" s="140" t="s">
        <v>416</v>
      </c>
      <c r="I190" s="142">
        <v>535900</v>
      </c>
      <c r="J190" s="143"/>
    </row>
    <row r="191" spans="7:10" x14ac:dyDescent="0.2">
      <c r="G191" s="140">
        <v>187</v>
      </c>
      <c r="H191" s="140" t="s">
        <v>417</v>
      </c>
      <c r="I191" s="142">
        <v>535900</v>
      </c>
      <c r="J191" s="143"/>
    </row>
    <row r="192" spans="7:10" x14ac:dyDescent="0.2">
      <c r="G192" s="140">
        <v>188</v>
      </c>
      <c r="H192" s="140" t="s">
        <v>297</v>
      </c>
      <c r="I192" s="142">
        <v>679650</v>
      </c>
      <c r="J192" s="143"/>
    </row>
    <row r="193" spans="7:10" x14ac:dyDescent="0.2">
      <c r="G193" s="140">
        <v>189</v>
      </c>
      <c r="H193" s="140" t="s">
        <v>418</v>
      </c>
      <c r="I193" s="142">
        <v>535900</v>
      </c>
      <c r="J193" s="143"/>
    </row>
    <row r="194" spans="7:10" x14ac:dyDescent="0.2">
      <c r="G194" s="140">
        <v>190</v>
      </c>
      <c r="H194" s="140" t="s">
        <v>437</v>
      </c>
      <c r="I194" s="142">
        <v>679650</v>
      </c>
      <c r="J194" s="143"/>
    </row>
    <row r="195" spans="7:10" x14ac:dyDescent="0.2">
      <c r="G195" s="140">
        <v>191</v>
      </c>
      <c r="H195" s="140" t="s">
        <v>216</v>
      </c>
      <c r="I195" s="142">
        <v>679650</v>
      </c>
      <c r="J195" s="143"/>
    </row>
    <row r="196" spans="7:10" x14ac:dyDescent="0.2">
      <c r="G196" s="140">
        <v>192</v>
      </c>
      <c r="H196" s="140" t="s">
        <v>419</v>
      </c>
      <c r="I196" s="142">
        <v>458850</v>
      </c>
      <c r="J196" s="143"/>
    </row>
    <row r="197" spans="7:10" x14ac:dyDescent="0.2">
      <c r="G197" s="140">
        <v>193</v>
      </c>
      <c r="H197" s="140" t="s">
        <v>420</v>
      </c>
      <c r="I197" s="142">
        <v>535900</v>
      </c>
      <c r="J197" s="143"/>
    </row>
    <row r="198" spans="7:10" x14ac:dyDescent="0.2">
      <c r="G198" s="140">
        <v>194</v>
      </c>
      <c r="H198" s="140" t="s">
        <v>421</v>
      </c>
      <c r="I198" s="142">
        <v>458850</v>
      </c>
      <c r="J198" s="143"/>
    </row>
    <row r="199" spans="7:10" x14ac:dyDescent="0.2">
      <c r="G199" s="140">
        <v>195</v>
      </c>
      <c r="H199" s="140" t="s">
        <v>462</v>
      </c>
      <c r="I199" s="142">
        <v>458850</v>
      </c>
      <c r="J199" s="143"/>
    </row>
    <row r="200" spans="7:10" x14ac:dyDescent="0.2">
      <c r="G200" s="140">
        <v>196</v>
      </c>
      <c r="H200" s="140" t="s">
        <v>463</v>
      </c>
      <c r="I200" s="142">
        <v>535900</v>
      </c>
      <c r="J200" s="143"/>
    </row>
    <row r="201" spans="7:10" x14ac:dyDescent="0.2">
      <c r="G201" s="140">
        <v>197</v>
      </c>
      <c r="H201" s="140" t="s">
        <v>464</v>
      </c>
      <c r="I201" s="142">
        <v>458850</v>
      </c>
      <c r="J201" s="143"/>
    </row>
    <row r="202" spans="7:10" x14ac:dyDescent="0.2">
      <c r="G202" s="140">
        <v>198</v>
      </c>
      <c r="H202" s="140" t="s">
        <v>465</v>
      </c>
      <c r="I202" s="142">
        <v>458850</v>
      </c>
      <c r="J202" s="143"/>
    </row>
    <row r="203" spans="7:10" x14ac:dyDescent="0.2">
      <c r="G203" s="140">
        <v>199</v>
      </c>
      <c r="H203" s="140" t="s">
        <v>422</v>
      </c>
      <c r="I203" s="142">
        <v>535900</v>
      </c>
      <c r="J203" s="143"/>
    </row>
    <row r="204" spans="7:10" x14ac:dyDescent="0.2">
      <c r="G204" s="140">
        <v>200</v>
      </c>
      <c r="H204" s="140" t="s">
        <v>423</v>
      </c>
      <c r="I204" s="142">
        <v>535900</v>
      </c>
      <c r="J204" s="143"/>
    </row>
    <row r="205" spans="7:10" x14ac:dyDescent="0.2">
      <c r="G205" s="140">
        <v>201</v>
      </c>
      <c r="H205" s="140" t="s">
        <v>298</v>
      </c>
      <c r="I205" s="142">
        <v>679650</v>
      </c>
      <c r="J205" s="143"/>
    </row>
    <row r="206" spans="7:10" x14ac:dyDescent="0.2">
      <c r="G206" s="140">
        <v>202</v>
      </c>
      <c r="H206" s="140" t="s">
        <v>376</v>
      </c>
      <c r="I206" s="142">
        <v>679650</v>
      </c>
      <c r="J206" s="143"/>
    </row>
    <row r="207" spans="7:10" x14ac:dyDescent="0.2">
      <c r="G207" s="140">
        <v>203</v>
      </c>
      <c r="H207" s="140" t="s">
        <v>466</v>
      </c>
      <c r="I207" s="142">
        <v>535900</v>
      </c>
      <c r="J207" s="143"/>
    </row>
    <row r="208" spans="7:10" x14ac:dyDescent="0.2">
      <c r="G208" s="140">
        <v>204</v>
      </c>
      <c r="H208" s="140" t="s">
        <v>299</v>
      </c>
      <c r="I208" s="142">
        <v>679650</v>
      </c>
      <c r="J208" s="143"/>
    </row>
    <row r="209" spans="7:10" x14ac:dyDescent="0.2">
      <c r="G209" s="140">
        <v>205</v>
      </c>
      <c r="H209" s="140" t="s">
        <v>300</v>
      </c>
      <c r="I209" s="142">
        <v>679650</v>
      </c>
      <c r="J209" s="143"/>
    </row>
    <row r="210" spans="7:10" x14ac:dyDescent="0.2">
      <c r="G210" s="140">
        <v>206</v>
      </c>
      <c r="H210" s="140" t="s">
        <v>467</v>
      </c>
      <c r="I210" s="142">
        <v>458850</v>
      </c>
      <c r="J210" s="143"/>
    </row>
    <row r="211" spans="7:10" x14ac:dyDescent="0.2">
      <c r="G211" s="140">
        <v>207</v>
      </c>
      <c r="H211" s="140" t="s">
        <v>424</v>
      </c>
      <c r="I211" s="142">
        <v>458850</v>
      </c>
      <c r="J211" s="143"/>
    </row>
    <row r="212" spans="7:10" x14ac:dyDescent="0.2">
      <c r="G212" s="140">
        <v>208</v>
      </c>
      <c r="H212" s="140" t="s">
        <v>425</v>
      </c>
      <c r="I212" s="142">
        <v>535900</v>
      </c>
      <c r="J212" s="143"/>
    </row>
    <row r="213" spans="7:10" x14ac:dyDescent="0.2">
      <c r="G213" s="140">
        <v>209</v>
      </c>
      <c r="H213" s="140" t="s">
        <v>426</v>
      </c>
      <c r="I213" s="142">
        <v>458850</v>
      </c>
      <c r="J213" s="143"/>
    </row>
    <row r="214" spans="7:10" x14ac:dyDescent="0.2">
      <c r="G214" s="140">
        <v>210</v>
      </c>
      <c r="H214" s="140" t="s">
        <v>301</v>
      </c>
      <c r="I214" s="142">
        <v>679650</v>
      </c>
      <c r="J214" s="143"/>
    </row>
    <row r="215" spans="7:10" x14ac:dyDescent="0.2">
      <c r="G215" s="140">
        <v>211</v>
      </c>
      <c r="H215" s="140" t="s">
        <v>468</v>
      </c>
      <c r="I215" s="142">
        <v>458850</v>
      </c>
      <c r="J215" s="143"/>
    </row>
    <row r="216" spans="7:10" x14ac:dyDescent="0.2">
      <c r="G216" s="140">
        <v>212</v>
      </c>
      <c r="H216" s="140" t="s">
        <v>427</v>
      </c>
      <c r="I216" s="142">
        <v>458850</v>
      </c>
      <c r="J216" s="143"/>
    </row>
    <row r="217" spans="7:10" x14ac:dyDescent="0.2">
      <c r="G217" s="140">
        <v>213</v>
      </c>
      <c r="H217" s="140" t="s">
        <v>440</v>
      </c>
      <c r="I217" s="142">
        <v>679650</v>
      </c>
      <c r="J217" s="143"/>
    </row>
    <row r="218" spans="7:10" x14ac:dyDescent="0.2">
      <c r="G218" s="140">
        <v>214</v>
      </c>
      <c r="H218" s="140" t="s">
        <v>441</v>
      </c>
      <c r="I218" s="142">
        <v>679650</v>
      </c>
      <c r="J218" s="143"/>
    </row>
    <row r="219" spans="7:10" x14ac:dyDescent="0.2">
      <c r="G219" s="140">
        <v>215</v>
      </c>
      <c r="H219" s="140" t="s">
        <v>442</v>
      </c>
      <c r="I219" s="142">
        <v>679650</v>
      </c>
      <c r="J219" s="143"/>
    </row>
    <row r="220" spans="7:10" x14ac:dyDescent="0.2">
      <c r="G220" s="140">
        <v>216</v>
      </c>
      <c r="H220" s="140" t="s">
        <v>217</v>
      </c>
      <c r="I220" s="142">
        <v>667000</v>
      </c>
      <c r="J220" s="143"/>
    </row>
    <row r="221" spans="7:10" x14ac:dyDescent="0.2">
      <c r="G221" s="140">
        <v>217</v>
      </c>
      <c r="H221" s="140" t="s">
        <v>302</v>
      </c>
      <c r="I221" s="142">
        <v>667000</v>
      </c>
      <c r="J221" s="143"/>
    </row>
    <row r="222" spans="7:10" x14ac:dyDescent="0.2">
      <c r="G222" s="140">
        <v>218</v>
      </c>
      <c r="H222" s="140" t="s">
        <v>218</v>
      </c>
      <c r="I222" s="142">
        <v>483000</v>
      </c>
      <c r="J222" s="143"/>
    </row>
    <row r="223" spans="7:10" x14ac:dyDescent="0.2">
      <c r="G223" s="140">
        <v>219</v>
      </c>
      <c r="H223" s="140" t="s">
        <v>511</v>
      </c>
      <c r="I223" s="142">
        <v>667000</v>
      </c>
      <c r="J223" s="143"/>
    </row>
    <row r="224" spans="7:10" x14ac:dyDescent="0.2">
      <c r="G224" s="140">
        <v>220</v>
      </c>
      <c r="H224" s="140" t="s">
        <v>303</v>
      </c>
      <c r="I224" s="142">
        <v>679650</v>
      </c>
      <c r="J224" s="143"/>
    </row>
    <row r="225" spans="7:10" x14ac:dyDescent="0.2">
      <c r="G225" s="140">
        <v>221</v>
      </c>
      <c r="H225" s="140" t="s">
        <v>304</v>
      </c>
      <c r="I225" s="142">
        <v>679650</v>
      </c>
      <c r="J225" s="143"/>
    </row>
    <row r="226" spans="7:10" x14ac:dyDescent="0.2">
      <c r="I226" s="142"/>
      <c r="J226" s="143"/>
    </row>
    <row r="227" spans="7:10" x14ac:dyDescent="0.2">
      <c r="I227" s="142"/>
      <c r="J227" s="143"/>
    </row>
    <row r="228" spans="7:10" x14ac:dyDescent="0.2">
      <c r="I228" s="142"/>
      <c r="J228" s="143"/>
    </row>
    <row r="229" spans="7:10" x14ac:dyDescent="0.2">
      <c r="I229" s="142"/>
      <c r="J229" s="143"/>
    </row>
    <row r="230" spans="7:10" x14ac:dyDescent="0.2">
      <c r="I230" s="142"/>
      <c r="J230" s="143"/>
    </row>
    <row r="231" spans="7:10" x14ac:dyDescent="0.2">
      <c r="I231" s="142"/>
      <c r="J231" s="143"/>
    </row>
    <row r="232" spans="7:10" x14ac:dyDescent="0.2">
      <c r="I232" s="142"/>
      <c r="J232" s="143"/>
    </row>
    <row r="233" spans="7:10" x14ac:dyDescent="0.2">
      <c r="I233" s="142"/>
      <c r="J233" s="143"/>
    </row>
    <row r="234" spans="7:10" x14ac:dyDescent="0.2">
      <c r="I234" s="142"/>
      <c r="J234" s="143"/>
    </row>
    <row r="235" spans="7:10" x14ac:dyDescent="0.2">
      <c r="I235" s="142"/>
      <c r="J235" s="143"/>
    </row>
    <row r="236" spans="7:10" x14ac:dyDescent="0.2">
      <c r="I236" s="142"/>
      <c r="J236" s="143"/>
    </row>
    <row r="237" spans="7:10" x14ac:dyDescent="0.2">
      <c r="I237" s="142"/>
      <c r="J237" s="143"/>
    </row>
    <row r="238" spans="7:10" x14ac:dyDescent="0.2">
      <c r="I238" s="142"/>
      <c r="J238" s="143"/>
    </row>
    <row r="239" spans="7:10" x14ac:dyDescent="0.2">
      <c r="I239" s="142"/>
      <c r="J239" s="143"/>
    </row>
    <row r="240" spans="7:10" x14ac:dyDescent="0.2">
      <c r="I240" s="142"/>
      <c r="J240" s="143"/>
    </row>
    <row r="241" spans="9:10" x14ac:dyDescent="0.2">
      <c r="I241" s="142"/>
      <c r="J241" s="143"/>
    </row>
    <row r="242" spans="9:10" x14ac:dyDescent="0.2">
      <c r="I242" s="142"/>
      <c r="J242" s="143"/>
    </row>
    <row r="243" spans="9:10" x14ac:dyDescent="0.2">
      <c r="I243" s="142"/>
      <c r="J243" s="143"/>
    </row>
  </sheetData>
  <dataValidations count="1">
    <dataValidation type="list" allowBlank="1" showInputMessage="1" showErrorMessage="1" sqref="K4:L4" xr:uid="{00000000-0002-0000-0300-000000000000}">
      <formula1>#REF!</formula1>
    </dataValidation>
  </dataValidation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3340CC5FF3794BA61830DE0A04076F" ma:contentTypeVersion="12" ma:contentTypeDescription="Create a new document." ma:contentTypeScope="" ma:versionID="fc9c071c63c3486df8c267d59c8cc947">
  <xsd:schema xmlns:xsd="http://www.w3.org/2001/XMLSchema" xmlns:xs="http://www.w3.org/2001/XMLSchema" xmlns:p="http://schemas.microsoft.com/office/2006/metadata/properties" xmlns:ns2="6cc511d4-cbde-415a-99f8-890a4714ae14" xmlns:ns3="f3775b37-bc67-49b8-83da-37215924d918" targetNamespace="http://schemas.microsoft.com/office/2006/metadata/properties" ma:root="true" ma:fieldsID="0069c04cd86be8860bc292178dd4da3b" ns2:_="" ns3:_="">
    <xsd:import namespace="6cc511d4-cbde-415a-99f8-890a4714ae14"/>
    <xsd:import namespace="f3775b37-bc67-49b8-83da-37215924d9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511d4-cbde-415a-99f8-890a4714a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775b37-bc67-49b8-83da-37215924d91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69C24D-1920-461B-8A21-111637F06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511d4-cbde-415a-99f8-890a4714ae14"/>
    <ds:schemaRef ds:uri="f3775b37-bc67-49b8-83da-37215924d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60E9A-5707-4E3A-B717-55CF857E846D}">
  <ds:schemaRefs>
    <ds:schemaRef ds:uri="http://schemas.microsoft.com/sharepoint/v3/contenttype/forms"/>
  </ds:schemaRefs>
</ds:datastoreItem>
</file>

<file path=customXml/itemProps3.xml><?xml version="1.0" encoding="utf-8"?>
<ds:datastoreItem xmlns:ds="http://schemas.openxmlformats.org/officeDocument/2006/customXml" ds:itemID="{4D8B09A4-442B-4629-9560-91473B4F15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IRRRL</vt:lpstr>
      <vt:lpstr>Purchase</vt:lpstr>
      <vt:lpstr>Cash-Out</vt:lpstr>
      <vt:lpstr>County Loan Limits</vt:lpstr>
      <vt:lpstr>CASHEX</vt:lpstr>
      <vt:lpstr>FIRST</vt:lpstr>
      <vt:lpstr>FIRSTC</vt:lpstr>
      <vt:lpstr>FIRSTTIME</vt:lpstr>
      <vt:lpstr>HighLimitCounty</vt:lpstr>
      <vt:lpstr>IRRRL!Print_Area</vt:lpstr>
      <vt:lpstr>PUREX</vt:lpstr>
      <vt:lpstr>REGMIL</vt:lpstr>
      <vt:lpstr>REGMILC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Orosco</dc:creator>
  <cp:lastModifiedBy>Tommy  Orosco</cp:lastModifiedBy>
  <dcterms:created xsi:type="dcterms:W3CDTF">2020-10-08T17:59:17Z</dcterms:created>
  <dcterms:modified xsi:type="dcterms:W3CDTF">2020-10-08T18:09:11Z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0x0101004B3340CC5FF3794BA61830DE0A04076F</vt:lpwstr>
  </property>
</Properties>
</file>